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xWindow="0" yWindow="0" windowWidth="19425" windowHeight="10200"/>
  </bookViews>
  <sheets>
    <sheet name="Horaires" sheetId="8" r:id="rId1"/>
    <sheet name="Solde heures" sheetId="1" r:id="rId2"/>
    <sheet name="Absences" sheetId="2" r:id="rId3"/>
    <sheet name="ouvrés" sheetId="7" r:id="rId4"/>
    <sheet name="LEGENDES ABSENCES" sheetId="9" state="hidden" r:id="rId5"/>
  </sheets>
  <definedNames>
    <definedName name="ABS">Horaires!$N$59</definedName>
    <definedName name="CHOISMOIS">#REF!</definedName>
    <definedName name="choixheures">Horaires!$B$100:$B$195</definedName>
    <definedName name="choixmois">Horaires!$A$100:$A$592</definedName>
    <definedName name="cola">'LEGENDES ABSENCES'!$A$4:$A$15</definedName>
    <definedName name="cola2">'LEGENDES ABSENCES'!$A$13:$A$15</definedName>
    <definedName name="FERIE">'LEGENDES ABSENCES'!$A$12</definedName>
    <definedName name="Fériés" localSheetId="3">ouvrés!$B$2:$B$30</definedName>
    <definedName name="HR">'Solde heures'!$G$6</definedName>
    <definedName name="HSUP">Horaires!$H$59</definedName>
    <definedName name="jf">ouvrés!$B$2:$B$14</definedName>
    <definedName name="Nombre_de_jours_ouvrés">ouvrés!$D$15</definedName>
    <definedName name="RECUP">'LEGENDES ABSENCES'!$A$3</definedName>
    <definedName name="solde">'Solde heures'!$G$10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D14" i="7" l="1"/>
  <c r="D13" i="7"/>
  <c r="N57" i="8" l="1"/>
  <c r="H10" i="8" l="1"/>
  <c r="C11" i="8"/>
  <c r="C12" i="8" l="1"/>
  <c r="H11" i="8"/>
  <c r="O11" i="8" s="1"/>
  <c r="P11" i="8"/>
  <c r="O10" i="8"/>
  <c r="Q10" i="8"/>
  <c r="P10" i="8"/>
  <c r="A2" i="7"/>
  <c r="D18" i="7"/>
  <c r="H12" i="8" l="1"/>
  <c r="O12" i="8" s="1"/>
  <c r="P12" i="8"/>
  <c r="C13" i="8"/>
  <c r="Q11" i="8"/>
  <c r="M11" i="8" s="1"/>
  <c r="M10" i="8"/>
  <c r="B10" i="7"/>
  <c r="B6" i="7"/>
  <c r="B3" i="7"/>
  <c r="B14" i="7"/>
  <c r="B12" i="7"/>
  <c r="B5" i="7"/>
  <c r="A14" i="7"/>
  <c r="B11" i="7"/>
  <c r="B4" i="7"/>
  <c r="B13" i="7"/>
  <c r="B9" i="7"/>
  <c r="C5" i="7"/>
  <c r="B2" i="7"/>
  <c r="C4" i="7"/>
  <c r="H13" i="8" l="1"/>
  <c r="Q13" i="8" s="1"/>
  <c r="C14" i="8"/>
  <c r="Q12" i="8"/>
  <c r="M12" i="8" s="1"/>
  <c r="B7" i="7"/>
  <c r="B8" i="7"/>
  <c r="O13" i="8" l="1"/>
  <c r="N17" i="8" s="1"/>
  <c r="P13" i="8"/>
  <c r="H14" i="8"/>
  <c r="O14" i="8" s="1"/>
  <c r="C15" i="8"/>
  <c r="D15" i="7"/>
  <c r="L4" i="8" s="1"/>
  <c r="D20" i="7"/>
  <c r="D4" i="7"/>
  <c r="D5" i="7"/>
  <c r="P14" i="8" l="1"/>
  <c r="M14" i="8" s="1"/>
  <c r="Q14" i="8"/>
  <c r="H15" i="8"/>
  <c r="C16" i="8"/>
  <c r="M13" i="8"/>
  <c r="H16" i="8" l="1"/>
  <c r="M16" i="8" s="1"/>
  <c r="C19" i="8"/>
  <c r="M15" i="8"/>
  <c r="H17" i="8" l="1"/>
  <c r="H19" i="8"/>
  <c r="C20" i="8"/>
  <c r="H20" i="8" l="1"/>
  <c r="O20" i="8" s="1"/>
  <c r="C21" i="8"/>
  <c r="O19" i="8"/>
  <c r="Q19" i="8"/>
  <c r="P19" i="8"/>
  <c r="H21" i="8" l="1"/>
  <c r="Q21" i="8" s="1"/>
  <c r="C22" i="8"/>
  <c r="P20" i="8"/>
  <c r="M19" i="8"/>
  <c r="Q20" i="8"/>
  <c r="M20" i="8" l="1"/>
  <c r="P21" i="8"/>
  <c r="O21" i="8"/>
  <c r="H22" i="8"/>
  <c r="Q22" i="8" s="1"/>
  <c r="P22" i="8"/>
  <c r="C23" i="8"/>
  <c r="H23" i="8" l="1"/>
  <c r="P23" i="8" s="1"/>
  <c r="C24" i="8"/>
  <c r="M21" i="8"/>
  <c r="O22" i="8"/>
  <c r="Q23" i="8" l="1"/>
  <c r="M22" i="8"/>
  <c r="O23" i="8"/>
  <c r="N26" i="8" s="1"/>
  <c r="C25" i="8"/>
  <c r="H24" i="8"/>
  <c r="M24" i="8" s="1"/>
  <c r="H25" i="8" l="1"/>
  <c r="C28" i="8"/>
  <c r="M23" i="8"/>
  <c r="M25" i="8" l="1"/>
  <c r="H26" i="8"/>
  <c r="C29" i="8"/>
  <c r="H28" i="8"/>
  <c r="O28" i="8" s="1"/>
  <c r="Q28" i="8"/>
  <c r="M28" i="8" l="1"/>
  <c r="P28" i="8"/>
  <c r="H29" i="8"/>
  <c r="C30" i="8"/>
  <c r="O29" i="8"/>
  <c r="Q29" i="8"/>
  <c r="H30" i="8" l="1"/>
  <c r="C31" i="8"/>
  <c r="P29" i="8"/>
  <c r="M29" i="8" s="1"/>
  <c r="Q30" i="8" l="1"/>
  <c r="H31" i="8"/>
  <c r="O31" i="8" s="1"/>
  <c r="C32" i="8"/>
  <c r="Q31" i="8"/>
  <c r="P31" i="8"/>
  <c r="O30" i="8"/>
  <c r="P30" i="8"/>
  <c r="H32" i="8" l="1"/>
  <c r="O32" i="8" s="1"/>
  <c r="N35" i="8" s="1"/>
  <c r="C33" i="8"/>
  <c r="M31" i="8"/>
  <c r="M30" i="8"/>
  <c r="Q32" i="8" l="1"/>
  <c r="P32" i="8"/>
  <c r="H33" i="8"/>
  <c r="M33" i="8" s="1"/>
  <c r="C34" i="8"/>
  <c r="H34" i="8" l="1"/>
  <c r="C37" i="8"/>
  <c r="M32" i="8"/>
  <c r="H37" i="8" l="1"/>
  <c r="O37" i="8" s="1"/>
  <c r="C38" i="8"/>
  <c r="M34" i="8"/>
  <c r="M35" i="8" s="1"/>
  <c r="H35" i="8"/>
  <c r="P37" i="8" l="1"/>
  <c r="Q37" i="8"/>
  <c r="M37" i="8" s="1"/>
  <c r="H38" i="8"/>
  <c r="O38" i="8" s="1"/>
  <c r="C39" i="8"/>
  <c r="P38" i="8" l="1"/>
  <c r="Q38" i="8"/>
  <c r="H39" i="8"/>
  <c r="O39" i="8" s="1"/>
  <c r="C40" i="8"/>
  <c r="M38" i="8" l="1"/>
  <c r="H40" i="8"/>
  <c r="O40" i="8" s="1"/>
  <c r="C41" i="8"/>
  <c r="Q39" i="8"/>
  <c r="M39" i="8" s="1"/>
  <c r="P39" i="8"/>
  <c r="H41" i="8" l="1"/>
  <c r="O41" i="8" s="1"/>
  <c r="N44" i="8" s="1"/>
  <c r="C42" i="8"/>
  <c r="P40" i="8"/>
  <c r="Q40" i="8"/>
  <c r="Q41" i="8" l="1"/>
  <c r="P41" i="8"/>
  <c r="M40" i="8"/>
  <c r="C43" i="8"/>
  <c r="H42" i="8"/>
  <c r="M42" i="8"/>
  <c r="M17" i="8"/>
  <c r="M26" i="8"/>
  <c r="M41" i="8" l="1"/>
  <c r="C46" i="8"/>
  <c r="H43" i="8"/>
  <c r="H44" i="8" s="1"/>
  <c r="C47" i="8" l="1"/>
  <c r="H46" i="8"/>
  <c r="Q46" i="8" s="1"/>
  <c r="M43" i="8"/>
  <c r="M44" i="8" s="1"/>
  <c r="P46" i="8" l="1"/>
  <c r="M46" i="8" s="1"/>
  <c r="H47" i="8"/>
  <c r="Q47" i="8" s="1"/>
  <c r="C48" i="8"/>
  <c r="O46" i="8"/>
  <c r="H48" i="8" l="1"/>
  <c r="Q48" i="8" s="1"/>
  <c r="C49" i="8"/>
  <c r="P47" i="8"/>
  <c r="M47" i="8" s="1"/>
  <c r="O47" i="8"/>
  <c r="P48" i="8" l="1"/>
  <c r="H49" i="8"/>
  <c r="Q49" i="8" s="1"/>
  <c r="C50" i="8"/>
  <c r="O48" i="8"/>
  <c r="H50" i="8" l="1"/>
  <c r="O50" i="8" s="1"/>
  <c r="C51" i="8"/>
  <c r="M48" i="8"/>
  <c r="P49" i="8"/>
  <c r="M49" i="8" s="1"/>
  <c r="O49" i="8"/>
  <c r="N53" i="8" s="1"/>
  <c r="N59" i="8" s="1"/>
  <c r="Q50" i="8" l="1"/>
  <c r="P50" i="8"/>
  <c r="C52" i="8"/>
  <c r="H52" i="8" s="1"/>
  <c r="H51" i="8"/>
  <c r="M51" i="8" s="1"/>
  <c r="M52" i="8" l="1"/>
  <c r="H53" i="8"/>
  <c r="H55" i="8" s="1"/>
  <c r="M50" i="8"/>
  <c r="M53" i="8" l="1"/>
  <c r="M55" i="8" s="1"/>
  <c r="H59" i="8" s="1"/>
  <c r="G10" i="1"/>
  <c r="D55" i="8" s="1"/>
</calcChain>
</file>

<file path=xl/sharedStrings.xml><?xml version="1.0" encoding="utf-8"?>
<sst xmlns="http://schemas.openxmlformats.org/spreadsheetml/2006/main" count="130" uniqueCount="85">
  <si>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</si>
  <si>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</si>
  <si>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</si>
  <si>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</si>
  <si>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</si>
  <si>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</si>
  <si>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</si>
  <si>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</si>
  <si>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</si>
  <si>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</si>
  <si>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</si>
  <si>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</si>
  <si>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</si>
  <si>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</si>
  <si>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</si>
  <si>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</si>
  <si>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</si>
  <si>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</si>
  <si>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</si>
  <si>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</si>
  <si>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</si>
  <si>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</si>
  <si>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</si>
  <si>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</si>
  <si>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</si>
  <si>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</si>
  <si>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</si>
  <si>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</si>
  <si>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</si>
  <si>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</si>
  <si>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</si>
  <si>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</si>
  <si>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</si>
  <si>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</si>
  <si>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</si>
  <si>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</si>
  <si>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</si>
  <si>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</si>
  <si>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</si>
  <si>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</si>
  <si>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</si>
  <si>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</si>
  <si>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</si>
  <si>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</si>
  <si>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</si>
  <si>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</si>
  <si>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</si>
  <si>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</si>
  <si>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</si>
  <si>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</si>
  <si>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</si>
  <si>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</si>
  <si>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</si>
  <si>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</si>
  <si>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</si>
  <si>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</si>
  <si>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</si>
  <si>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</si>
  <si>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</si>
  <si>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</si>
  <si>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</si>
  <si>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</si>
  <si>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EVF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</si>
  <si>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</si>
  <si>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</si>
  <si>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</si>
  <si>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</si>
  <si>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</si>
  <si>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</si>
  <si>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</si>
  <si>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</si>
  <si>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</si>
  <si>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</si>
  <si>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</si>
  <si>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</si>
  <si>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</si>
  <si>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</si>
  <si>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</si>
  <si>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</si>
  <si>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</si>
  <si>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</si>
  <si>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</si>
  <si>
    <t xml:space="preserve"> Mi-temps thérapeutique</t>
  </si>
  <si>
    <t xml:space="preserve"> Evènements familiaux</t>
  </si>
  <si>
    <t>Solde d'heures restantes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</si>
</sst>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  <numFmt numFmtId="171" formatCode="h:mm:ss;@"/>
  </numFmts>
  <fonts count="28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9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2"/>
      </left>
      <right/>
      <top/>
      <bottom/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/>
      <bottom style="hair">
        <color theme="4" tint="0.39997558519241921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/>
      <diagonal/>
    </border>
    <border>
      <left/>
      <right style="medium">
        <color theme="4" tint="0.39991454817346722"/>
      </right>
      <top style="hair">
        <color theme="4" tint="0.39994506668294322"/>
      </top>
      <bottom/>
      <diagonal/>
    </border>
    <border>
      <left/>
      <right/>
      <top style="hair">
        <color theme="4" tint="0.39994506668294322"/>
      </top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4506668294322"/>
      </left>
      <right/>
      <top/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/>
      <bottom style="hair">
        <color theme="4" tint="0.39994506668294322"/>
      </bottom>
      <diagonal/>
    </border>
    <border>
      <left/>
      <right style="medium">
        <color theme="4" tint="0.39991454817346722"/>
      </right>
      <top/>
      <bottom style="hair">
        <color theme="4" tint="0.39994506668294322"/>
      </bottom>
      <diagonal/>
    </border>
    <border>
      <left/>
      <right/>
      <top/>
      <bottom style="hair">
        <color theme="4" tint="0.39994506668294322"/>
      </bottom>
      <diagonal/>
    </border>
    <border>
      <left style="medium">
        <color theme="4" tint="-0.24994659260841701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/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</borders>
  <cellStyleXfs count="6">
    <xf numFmtId="0" fontId="0" fillId="0" borderId="0"/>
    <xf numFmtId="0" fontId="11" fillId="0" borderId="0"/>
    <xf numFmtId="0" fontId="12" fillId="0" borderId="3" applyNumberFormat="0" applyFill="0" applyAlignment="0" applyProtection="0"/>
    <xf numFmtId="0" fontId="14" fillId="0" borderId="2" applyNumberFormat="0" applyFill="0" applyAlignment="0" applyProtection="0"/>
    <xf numFmtId="0" fontId="15" fillId="0" borderId="1" applyNumberFormat="0" applyFill="0" applyAlignment="0" applyProtection="0"/>
    <xf numFmtId="0" fontId="17" fillId="0" borderId="20" applyNumberFormat="0" applyFill="0" applyAlignment="0" applyProtection="0"/>
  </cellStyleXfs>
  <cellXfs count="192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1" fillId="0" borderId="0" xfId="1" applyAlignment="1">
      <alignment vertical="center"/>
    </xf>
    <xf numFmtId="168" fontId="11" fillId="0" borderId="0" xfId="1" applyNumberFormat="1" applyAlignment="1">
      <alignment vertical="center"/>
    </xf>
    <xf numFmtId="20" fontId="11" fillId="0" borderId="0" xfId="1" applyNumberFormat="1" applyAlignment="1">
      <alignment vertical="center"/>
    </xf>
    <xf numFmtId="20" fontId="11" fillId="0" borderId="10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 applyProtection="1">
      <alignment horizontal="center" vertical="center"/>
      <protection locked="0"/>
    </xf>
    <xf numFmtId="20" fontId="11" fillId="0" borderId="12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>
      <alignment horizontal="center" vertical="center"/>
    </xf>
    <xf numFmtId="14" fontId="11" fillId="0" borderId="11" xfId="1" applyNumberFormat="1" applyBorder="1" applyAlignment="1">
      <alignment horizontal="center" vertical="center"/>
    </xf>
    <xf numFmtId="0" fontId="11" fillId="0" borderId="13" xfId="1" applyBorder="1" applyAlignment="1">
      <alignment vertical="center"/>
    </xf>
    <xf numFmtId="20" fontId="11" fillId="0" borderId="14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 applyProtection="1">
      <alignment horizontal="center" vertical="center"/>
      <protection locked="0"/>
    </xf>
    <xf numFmtId="20" fontId="11" fillId="0" borderId="16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>
      <alignment horizontal="center" vertical="center"/>
    </xf>
    <xf numFmtId="14" fontId="11" fillId="0" borderId="15" xfId="1" applyNumberFormat="1" applyBorder="1" applyAlignment="1">
      <alignment horizontal="center" vertical="center"/>
    </xf>
    <xf numFmtId="0" fontId="11" fillId="0" borderId="17" xfId="1" applyBorder="1" applyAlignment="1">
      <alignment vertical="center"/>
    </xf>
    <xf numFmtId="0" fontId="14" fillId="0" borderId="18" xfId="3" applyBorder="1" applyAlignment="1">
      <alignment horizontal="center" vertical="center"/>
    </xf>
    <xf numFmtId="0" fontId="11" fillId="0" borderId="0" xfId="1"/>
    <xf numFmtId="0" fontId="11" fillId="0" borderId="0" xfId="1" applyAlignment="1">
      <alignment horizontal="center" vertical="center"/>
    </xf>
    <xf numFmtId="20" fontId="11" fillId="0" borderId="17" xfId="1" applyNumberForma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7" xfId="0" applyNumberFormat="1" applyFont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11" fillId="0" borderId="32" xfId="1" applyBorder="1" applyAlignment="1">
      <alignment horizontal="center" vertical="center"/>
    </xf>
    <xf numFmtId="0" fontId="19" fillId="0" borderId="32" xfId="1" applyFont="1" applyBorder="1" applyAlignment="1">
      <alignment horizontal="center" vertical="center"/>
    </xf>
    <xf numFmtId="0" fontId="11" fillId="8" borderId="0" xfId="1" applyFill="1" applyAlignment="1">
      <alignment vertical="center"/>
    </xf>
    <xf numFmtId="169" fontId="12" fillId="0" borderId="32" xfId="2" applyNumberFormat="1" applyBorder="1" applyAlignment="1">
      <alignment horizontal="center" vertical="center"/>
    </xf>
    <xf numFmtId="0" fontId="11" fillId="0" borderId="52" xfId="1" applyBorder="1" applyAlignment="1">
      <alignment vertical="center"/>
    </xf>
    <xf numFmtId="14" fontId="11" fillId="0" borderId="53" xfId="1" applyNumberFormat="1" applyBorder="1" applyAlignment="1">
      <alignment horizontal="center" vertical="center"/>
    </xf>
    <xf numFmtId="20" fontId="11" fillId="0" borderId="54" xfId="1" applyNumberFormat="1" applyBorder="1" applyAlignment="1" applyProtection="1">
      <alignment horizontal="center" vertical="center"/>
      <protection locked="0"/>
    </xf>
    <xf numFmtId="20" fontId="11" fillId="0" borderId="53" xfId="1" applyNumberFormat="1" applyBorder="1" applyAlignment="1" applyProtection="1">
      <alignment horizontal="center" vertical="center"/>
      <protection locked="0"/>
    </xf>
    <xf numFmtId="20" fontId="11" fillId="0" borderId="55" xfId="1" applyNumberFormat="1" applyBorder="1" applyAlignment="1" applyProtection="1">
      <alignment horizontal="center" vertical="center"/>
      <protection locked="0"/>
    </xf>
    <xf numFmtId="169" fontId="12" fillId="0" borderId="59" xfId="2" applyNumberFormat="1" applyBorder="1" applyAlignment="1">
      <alignment horizontal="center" vertical="center"/>
    </xf>
    <xf numFmtId="169" fontId="12" fillId="0" borderId="61" xfId="2" applyNumberFormat="1" applyBorder="1" applyAlignment="1">
      <alignment horizontal="center" vertical="center"/>
    </xf>
    <xf numFmtId="169" fontId="12" fillId="6" borderId="64" xfId="2" applyNumberFormat="1" applyFill="1" applyBorder="1" applyAlignment="1">
      <alignment horizontal="center" vertical="center"/>
    </xf>
    <xf numFmtId="169" fontId="13" fillId="7" borderId="64" xfId="2" applyNumberFormat="1" applyFont="1" applyFill="1" applyBorder="1" applyAlignment="1">
      <alignment horizontal="center" vertical="center"/>
    </xf>
    <xf numFmtId="0" fontId="11" fillId="8" borderId="0" xfId="1" applyFill="1" applyAlignment="1">
      <alignment horizontal="center" vertical="center"/>
    </xf>
    <xf numFmtId="0" fontId="11" fillId="8" borderId="9" xfId="1" applyFill="1" applyBorder="1" applyAlignment="1">
      <alignment vertical="center"/>
    </xf>
    <xf numFmtId="0" fontId="11" fillId="8" borderId="0" xfId="1" applyFill="1" applyBorder="1" applyAlignment="1">
      <alignment vertical="center"/>
    </xf>
    <xf numFmtId="0" fontId="11" fillId="8" borderId="36" xfId="1" applyFill="1" applyBorder="1" applyAlignment="1">
      <alignment vertical="center"/>
    </xf>
    <xf numFmtId="169" fontId="12" fillId="7" borderId="67" xfId="2" applyNumberFormat="1" applyFill="1" applyBorder="1" applyAlignment="1">
      <alignment horizontal="center" vertical="center"/>
    </xf>
    <xf numFmtId="0" fontId="11" fillId="8" borderId="0" xfId="1" applyFill="1" applyBorder="1" applyAlignment="1">
      <alignment horizontal="center" vertical="center"/>
    </xf>
    <xf numFmtId="0" fontId="16" fillId="8" borderId="1" xfId="4" applyFont="1" applyFill="1" applyBorder="1" applyAlignment="1"/>
    <xf numFmtId="170" fontId="16" fillId="8" borderId="1" xfId="4" applyNumberFormat="1" applyFont="1" applyFill="1" applyBorder="1" applyAlignment="1" applyProtection="1">
      <alignment horizontal="center"/>
      <protection locked="0"/>
    </xf>
    <xf numFmtId="0" fontId="11" fillId="8" borderId="0" xfId="1" applyFill="1"/>
    <xf numFmtId="0" fontId="11" fillId="0" borderId="68" xfId="1" applyBorder="1" applyAlignment="1">
      <alignment vertical="center"/>
    </xf>
    <xf numFmtId="14" fontId="11" fillId="0" borderId="69" xfId="1" applyNumberFormat="1" applyBorder="1" applyAlignment="1">
      <alignment horizontal="center" vertical="center"/>
    </xf>
    <xf numFmtId="20" fontId="11" fillId="0" borderId="70" xfId="1" applyNumberFormat="1" applyBorder="1" applyAlignment="1" applyProtection="1">
      <alignment horizontal="center" vertical="center"/>
      <protection locked="0"/>
    </xf>
    <xf numFmtId="20" fontId="11" fillId="0" borderId="69" xfId="1" applyNumberFormat="1" applyBorder="1" applyAlignment="1" applyProtection="1">
      <alignment horizontal="center" vertical="center"/>
      <protection locked="0"/>
    </xf>
    <xf numFmtId="20" fontId="11" fillId="0" borderId="71" xfId="1" applyNumberFormat="1" applyBorder="1" applyAlignment="1" applyProtection="1">
      <alignment horizontal="center" vertical="center"/>
      <protection locked="0"/>
    </xf>
    <xf numFmtId="20" fontId="11" fillId="0" borderId="69" xfId="1" applyNumberFormat="1" applyBorder="1" applyAlignment="1">
      <alignment horizontal="center" vertical="center"/>
    </xf>
    <xf numFmtId="20" fontId="11" fillId="0" borderId="68" xfId="1" applyNumberFormat="1" applyBorder="1" applyAlignment="1">
      <alignment horizontal="center" vertical="center"/>
    </xf>
    <xf numFmtId="0" fontId="27" fillId="8" borderId="7" xfId="0" applyNumberFormat="1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8" borderId="0" xfId="0" applyFont="1" applyFill="1"/>
    <xf numFmtId="14" fontId="11" fillId="0" borderId="69" xfId="1" applyNumberFormat="1" applyBorder="1" applyAlignment="1" applyProtection="1">
      <alignment horizontal="center" vertical="center"/>
      <protection locked="0"/>
    </xf>
    <xf numFmtId="20" fontId="11" fillId="0" borderId="73" xfId="1" applyNumberFormat="1" applyBorder="1" applyAlignment="1">
      <alignment horizontal="center" vertical="center"/>
    </xf>
    <xf numFmtId="20" fontId="11" fillId="0" borderId="74" xfId="1" applyNumberFormat="1" applyBorder="1" applyAlignment="1">
      <alignment horizontal="center" vertical="center"/>
    </xf>
    <xf numFmtId="20" fontId="11" fillId="0" borderId="75" xfId="1" applyNumberFormat="1" applyBorder="1" applyAlignment="1">
      <alignment horizontal="center" vertical="center"/>
    </xf>
    <xf numFmtId="20" fontId="11" fillId="0" borderId="61" xfId="1" applyNumberFormat="1" applyBorder="1" applyAlignment="1">
      <alignment horizontal="center" vertical="center"/>
    </xf>
    <xf numFmtId="0" fontId="0" fillId="8" borderId="0" xfId="0" applyFill="1" applyAlignment="1"/>
    <xf numFmtId="0" fontId="0" fillId="8" borderId="0" xfId="0" applyFill="1"/>
    <xf numFmtId="0" fontId="19" fillId="0" borderId="0" xfId="1" applyFont="1" applyBorder="1" applyAlignment="1">
      <alignment vertical="center"/>
    </xf>
    <xf numFmtId="0" fontId="19" fillId="8" borderId="0" xfId="1" applyFont="1" applyFill="1" applyBorder="1" applyAlignment="1">
      <alignment vertical="center"/>
    </xf>
    <xf numFmtId="171" fontId="0" fillId="0" borderId="0" xfId="0" applyNumberFormat="1" applyAlignment="1"/>
    <xf numFmtId="171" fontId="19" fillId="0" borderId="32" xfId="1" applyNumberFormat="1" applyFont="1" applyBorder="1" applyAlignment="1">
      <alignment horizontal="center" vertical="center"/>
    </xf>
    <xf numFmtId="0" fontId="11" fillId="0" borderId="32" xfId="1" applyBorder="1" applyAlignment="1" applyProtection="1">
      <alignment horizontal="center" vertical="center"/>
    </xf>
    <xf numFmtId="0" fontId="11" fillId="8" borderId="34" xfId="1" applyNumberFormat="1" applyFill="1" applyBorder="1" applyAlignment="1" applyProtection="1">
      <alignment horizontal="center" vertical="center"/>
      <protection locked="0"/>
    </xf>
    <xf numFmtId="0" fontId="11" fillId="8" borderId="43" xfId="1" applyNumberFormat="1" applyFill="1" applyBorder="1" applyAlignment="1" applyProtection="1">
      <alignment horizontal="center" vertical="center"/>
      <protection locked="0"/>
    </xf>
    <xf numFmtId="0" fontId="11" fillId="8" borderId="51" xfId="1" applyNumberFormat="1" applyFill="1" applyBorder="1" applyAlignment="1" applyProtection="1">
      <alignment horizontal="center" vertical="center"/>
      <protection locked="0"/>
    </xf>
    <xf numFmtId="0" fontId="11" fillId="0" borderId="42" xfId="1" applyBorder="1" applyAlignment="1" applyProtection="1">
      <alignment horizontal="center" vertical="center"/>
      <protection locked="0"/>
    </xf>
    <xf numFmtId="0" fontId="11" fillId="0" borderId="34" xfId="1" applyBorder="1" applyAlignment="1" applyProtection="1">
      <alignment horizontal="center" vertical="center"/>
      <protection locked="0"/>
    </xf>
    <xf numFmtId="0" fontId="11" fillId="0" borderId="43" xfId="1" applyBorder="1" applyAlignment="1" applyProtection="1">
      <alignment horizontal="center" vertical="center"/>
      <protection locked="0"/>
    </xf>
    <xf numFmtId="0" fontId="11" fillId="0" borderId="40" xfId="1" applyBorder="1" applyAlignment="1" applyProtection="1">
      <alignment horizontal="center" vertical="center"/>
      <protection locked="0"/>
    </xf>
    <xf numFmtId="0" fontId="11" fillId="0" borderId="41" xfId="1" applyBorder="1" applyAlignment="1" applyProtection="1">
      <alignment horizontal="center" vertical="center"/>
      <protection locked="0"/>
    </xf>
    <xf numFmtId="0" fontId="11" fillId="0" borderId="51" xfId="1" applyBorder="1" applyAlignment="1" applyProtection="1">
      <alignment horizontal="center" vertical="center"/>
      <protection locked="0"/>
    </xf>
    <xf numFmtId="169" fontId="11" fillId="0" borderId="0" xfId="1" applyNumberFormat="1" applyAlignment="1">
      <alignment vertical="center"/>
    </xf>
    <xf numFmtId="0" fontId="19" fillId="0" borderId="37" xfId="1" applyFont="1" applyBorder="1" applyAlignment="1">
      <alignment horizontal="center" vertical="center"/>
    </xf>
    <xf numFmtId="0" fontId="19" fillId="0" borderId="38" xfId="1" applyFont="1" applyBorder="1" applyAlignment="1">
      <alignment horizontal="center" vertical="center"/>
    </xf>
    <xf numFmtId="0" fontId="19" fillId="0" borderId="39" xfId="1" applyFont="1" applyBorder="1" applyAlignment="1">
      <alignment horizontal="center" vertical="center"/>
    </xf>
    <xf numFmtId="0" fontId="25" fillId="8" borderId="2" xfId="1" applyFont="1" applyFill="1" applyBorder="1" applyAlignment="1">
      <alignment horizontal="center" vertical="center"/>
    </xf>
    <xf numFmtId="0" fontId="11" fillId="0" borderId="0" xfId="1" applyBorder="1" applyAlignment="1">
      <alignment horizontal="center" vertical="center"/>
    </xf>
    <xf numFmtId="0" fontId="19" fillId="0" borderId="44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9" fillId="0" borderId="46" xfId="1" applyFont="1" applyBorder="1" applyAlignment="1">
      <alignment horizontal="center" vertical="center"/>
    </xf>
    <xf numFmtId="0" fontId="19" fillId="0" borderId="47" xfId="1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48" xfId="1" applyFont="1" applyBorder="1" applyAlignment="1">
      <alignment horizontal="center" vertical="center"/>
    </xf>
    <xf numFmtId="171" fontId="19" fillId="0" borderId="33" xfId="1" applyNumberFormat="1" applyFont="1" applyBorder="1" applyAlignment="1">
      <alignment horizontal="center" vertical="center"/>
    </xf>
    <xf numFmtId="171" fontId="19" fillId="0" borderId="35" xfId="1" applyNumberFormat="1" applyFont="1" applyBorder="1" applyAlignment="1">
      <alignment horizontal="center" vertical="center"/>
    </xf>
    <xf numFmtId="0" fontId="12" fillId="0" borderId="56" xfId="2" applyBorder="1" applyAlignment="1">
      <alignment horizontal="right" vertical="center" indent="2"/>
    </xf>
    <xf numFmtId="0" fontId="12" fillId="0" borderId="57" xfId="2" applyBorder="1" applyAlignment="1">
      <alignment horizontal="right" vertical="center" indent="2"/>
    </xf>
    <xf numFmtId="0" fontId="12" fillId="0" borderId="58" xfId="2" applyBorder="1" applyAlignment="1">
      <alignment horizontal="right" vertical="center" indent="2"/>
    </xf>
    <xf numFmtId="0" fontId="19" fillId="0" borderId="49" xfId="1" applyFont="1" applyBorder="1" applyAlignment="1">
      <alignment horizontal="center" vertical="center"/>
    </xf>
    <xf numFmtId="0" fontId="19" fillId="0" borderId="50" xfId="1" applyFont="1" applyBorder="1" applyAlignment="1">
      <alignment horizontal="center" vertical="center"/>
    </xf>
    <xf numFmtId="0" fontId="13" fillId="7" borderId="62" xfId="2" applyFont="1" applyFill="1" applyBorder="1" applyAlignment="1">
      <alignment horizontal="center" vertical="center"/>
    </xf>
    <xf numFmtId="0" fontId="13" fillId="7" borderId="63" xfId="2" applyFont="1" applyFill="1" applyBorder="1" applyAlignment="1">
      <alignment horizontal="center" vertical="center"/>
    </xf>
    <xf numFmtId="0" fontId="12" fillId="6" borderId="76" xfId="2" applyFill="1" applyBorder="1" applyAlignment="1">
      <alignment horizontal="center" vertical="center"/>
    </xf>
    <xf numFmtId="0" fontId="12" fillId="6" borderId="63" xfId="2" applyFill="1" applyBorder="1" applyAlignment="1">
      <alignment horizontal="center" vertical="center"/>
    </xf>
    <xf numFmtId="0" fontId="12" fillId="7" borderId="65" xfId="2" applyFill="1" applyBorder="1" applyAlignment="1">
      <alignment horizontal="center" vertical="center"/>
    </xf>
    <xf numFmtId="0" fontId="12" fillId="7" borderId="66" xfId="2" applyFill="1" applyBorder="1" applyAlignment="1">
      <alignment horizontal="center" vertical="center"/>
    </xf>
    <xf numFmtId="0" fontId="14" fillId="0" borderId="18" xfId="3" applyBorder="1" applyAlignment="1">
      <alignment horizontal="center" vertical="center"/>
    </xf>
    <xf numFmtId="0" fontId="19" fillId="8" borderId="0" xfId="1" applyFont="1" applyFill="1" applyBorder="1" applyAlignment="1">
      <alignment horizontal="center" vertical="center"/>
    </xf>
    <xf numFmtId="0" fontId="11" fillId="0" borderId="22" xfId="1" applyBorder="1" applyAlignment="1">
      <alignment horizontal="center" vertical="center"/>
    </xf>
    <xf numFmtId="0" fontId="11" fillId="0" borderId="9" xfId="1" applyBorder="1" applyAlignment="1">
      <alignment horizontal="center" vertical="center"/>
    </xf>
    <xf numFmtId="0" fontId="11" fillId="8" borderId="21" xfId="1" applyFill="1" applyBorder="1" applyAlignment="1">
      <alignment horizontal="center" vertical="center"/>
    </xf>
    <xf numFmtId="0" fontId="11" fillId="8" borderId="19" xfId="1" applyFill="1" applyBorder="1" applyAlignment="1">
      <alignment horizontal="center"/>
    </xf>
    <xf numFmtId="0" fontId="12" fillId="0" borderId="60" xfId="2" applyBorder="1" applyAlignment="1">
      <alignment horizontal="right" vertical="center" indent="2"/>
    </xf>
    <xf numFmtId="0" fontId="12" fillId="0" borderId="72" xfId="2" applyBorder="1" applyAlignment="1">
      <alignment horizontal="right" vertical="center" indent="2"/>
    </xf>
    <xf numFmtId="0" fontId="11" fillId="8" borderId="45" xfId="1" applyFill="1" applyBorder="1" applyAlignment="1">
      <alignment horizontal="center" vertical="center"/>
    </xf>
    <xf numFmtId="0" fontId="11" fillId="8" borderId="38" xfId="1" applyFill="1" applyBorder="1" applyAlignment="1">
      <alignment horizontal="center" vertical="center"/>
    </xf>
    <xf numFmtId="0" fontId="11" fillId="8" borderId="2" xfId="1" applyFill="1" applyBorder="1" applyAlignment="1">
      <alignment horizontal="center" vertical="center"/>
    </xf>
    <xf numFmtId="0" fontId="23" fillId="0" borderId="33" xfId="1" applyFont="1" applyBorder="1" applyAlignment="1">
      <alignment horizontal="center" vertical="center" wrapText="1"/>
    </xf>
    <xf numFmtId="0" fontId="24" fillId="0" borderId="34" xfId="1" applyFont="1" applyBorder="1" applyAlignment="1">
      <alignment horizontal="center" vertical="center" wrapText="1"/>
    </xf>
    <xf numFmtId="0" fontId="24" fillId="0" borderId="35" xfId="1" applyFont="1" applyBorder="1" applyAlignment="1">
      <alignment horizontal="center" vertical="center" wrapText="1"/>
    </xf>
    <xf numFmtId="0" fontId="18" fillId="8" borderId="20" xfId="5" applyFont="1" applyFill="1" applyBorder="1" applyAlignment="1">
      <alignment horizontal="center" vertical="center"/>
    </xf>
    <xf numFmtId="0" fontId="14" fillId="0" borderId="31" xfId="3" applyBorder="1" applyAlignment="1">
      <alignment horizontal="center" vertical="center" wrapText="1"/>
    </xf>
    <xf numFmtId="0" fontId="11" fillId="8" borderId="0" xfId="1" applyFill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22" fillId="0" borderId="25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171" fontId="21" fillId="0" borderId="24" xfId="0" applyNumberFormat="1" applyFont="1" applyBorder="1" applyAlignment="1">
      <alignment horizontal="center" vertical="center"/>
    </xf>
    <xf numFmtId="171" fontId="21" fillId="0" borderId="25" xfId="0" applyNumberFormat="1" applyFont="1" applyBorder="1" applyAlignment="1">
      <alignment horizontal="center" vertical="center"/>
    </xf>
    <xf numFmtId="171" fontId="21" fillId="0" borderId="26" xfId="0" applyNumberFormat="1" applyFont="1" applyBorder="1" applyAlignment="1">
      <alignment horizontal="center" vertical="center"/>
    </xf>
    <xf numFmtId="171" fontId="21" fillId="0" borderId="27" xfId="0" applyNumberFormat="1" applyFont="1" applyBorder="1" applyAlignment="1">
      <alignment horizontal="center" vertical="center"/>
    </xf>
    <xf numFmtId="171" fontId="21" fillId="0" borderId="0" xfId="0" applyNumberFormat="1" applyFont="1" applyBorder="1" applyAlignment="1">
      <alignment horizontal="center" vertical="center"/>
    </xf>
    <xf numFmtId="171" fontId="21" fillId="0" borderId="28" xfId="0" applyNumberFormat="1" applyFont="1" applyBorder="1" applyAlignment="1">
      <alignment horizontal="center" vertical="center"/>
    </xf>
    <xf numFmtId="171" fontId="21" fillId="0" borderId="29" xfId="0" applyNumberFormat="1" applyFont="1" applyBorder="1" applyAlignment="1">
      <alignment horizontal="center" vertical="center"/>
    </xf>
    <xf numFmtId="171" fontId="21" fillId="0" borderId="23" xfId="0" applyNumberFormat="1" applyFont="1" applyBorder="1" applyAlignment="1">
      <alignment horizontal="center" vertical="center"/>
    </xf>
    <xf numFmtId="171" fontId="21" fillId="0" borderId="3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71" fontId="21" fillId="0" borderId="24" xfId="0" applyNumberFormat="1" applyFont="1" applyBorder="1" applyAlignment="1" applyProtection="1">
      <alignment horizontal="center" vertical="center"/>
    </xf>
    <xf numFmtId="171" fontId="21" fillId="0" borderId="25" xfId="0" applyNumberFormat="1" applyFont="1" applyBorder="1" applyAlignment="1" applyProtection="1">
      <alignment horizontal="center" vertical="center"/>
    </xf>
    <xf numFmtId="171" fontId="21" fillId="0" borderId="26" xfId="0" applyNumberFormat="1" applyFont="1" applyBorder="1" applyAlignment="1" applyProtection="1">
      <alignment horizontal="center" vertical="center"/>
    </xf>
    <xf numFmtId="171" fontId="21" fillId="0" borderId="27" xfId="0" applyNumberFormat="1" applyFont="1" applyBorder="1" applyAlignment="1" applyProtection="1">
      <alignment horizontal="center" vertical="center"/>
    </xf>
    <xf numFmtId="171" fontId="21" fillId="0" borderId="0" xfId="0" applyNumberFormat="1" applyFont="1" applyBorder="1" applyAlignment="1" applyProtection="1">
      <alignment horizontal="center" vertical="center"/>
    </xf>
    <xf numFmtId="171" fontId="21" fillId="0" borderId="28" xfId="0" applyNumberFormat="1" applyFont="1" applyBorder="1" applyAlignment="1" applyProtection="1">
      <alignment horizontal="center" vertical="center"/>
    </xf>
    <xf numFmtId="171" fontId="21" fillId="0" borderId="29" xfId="0" applyNumberFormat="1" applyFont="1" applyBorder="1" applyAlignment="1" applyProtection="1">
      <alignment horizontal="center" vertical="center"/>
    </xf>
    <xf numFmtId="171" fontId="21" fillId="0" borderId="23" xfId="0" applyNumberFormat="1" applyFont="1" applyBorder="1" applyAlignment="1" applyProtection="1">
      <alignment horizontal="center" vertical="center"/>
    </xf>
    <xf numFmtId="171" fontId="21" fillId="0" borderId="30" xfId="0" applyNumberFormat="1" applyFont="1" applyBorder="1" applyAlignment="1" applyProtection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30" xfId="0" applyFont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R592"/>
  <sheetViews>
    <sheetView tabSelected="1" zoomScaleNormal="100" workbookViewId="0">
      <selection activeCell="N13" sqref="N13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25.7109375" style="43" bestFit="1" customWidth="1"/>
    <col min="15" max="17" width="14.85546875" style="65" hidden="1" customWidth="1"/>
    <col min="18" max="18" width="14.85546875" style="54"/>
    <col min="19" max="16384" width="14.85546875" style="26"/>
  </cols>
  <sheetData>
    <row r="1" spans="1:18" ht="19.5" customHeight="1" x14ac:dyDescent="0.25">
      <c r="A1" s="132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65"/>
    </row>
    <row r="2" spans="1:18" ht="54" customHeight="1" thickBot="1" x14ac:dyDescent="0.3">
      <c r="A2" s="133"/>
      <c r="B2" s="144" t="s">
        <v>46</v>
      </c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65"/>
    </row>
    <row r="3" spans="1:18" s="42" customFormat="1" ht="18" thickTop="1" thickBot="1" x14ac:dyDescent="0.35">
      <c r="A3" s="133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65"/>
      <c r="O3" s="65"/>
      <c r="P3" s="65"/>
      <c r="Q3" s="65"/>
      <c r="R3" s="73"/>
    </row>
    <row r="4" spans="1:18" ht="38.25" customHeight="1" thickBot="1" x14ac:dyDescent="0.5">
      <c r="A4" s="133"/>
      <c r="B4" s="71" t="s">
        <v>45</v>
      </c>
      <c r="C4" s="72">
        <v>42491</v>
      </c>
      <c r="D4" s="110"/>
      <c r="E4" s="110"/>
      <c r="F4" s="110"/>
      <c r="G4" s="110"/>
      <c r="H4" s="110"/>
      <c r="I4" s="109" t="s">
        <v>47</v>
      </c>
      <c r="J4" s="109"/>
      <c r="K4" s="109"/>
      <c r="L4" s="122">
        <f ca="1">ouvrés!D15-Absences!J2</f>
        <v>22</v>
      </c>
      <c r="M4" s="123"/>
    </row>
    <row r="5" spans="1:18" ht="36" customHeight="1" thickTop="1" thickBot="1" x14ac:dyDescent="0.3">
      <c r="A5" s="133"/>
      <c r="B5" s="14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6"/>
      <c r="N5" s="146"/>
    </row>
    <row r="6" spans="1:18" ht="18.75" thickBot="1" x14ac:dyDescent="0.3">
      <c r="A6" s="133"/>
      <c r="B6" s="130" t="s">
        <v>44</v>
      </c>
      <c r="C6" s="130" t="s">
        <v>43</v>
      </c>
      <c r="D6" s="130" t="s">
        <v>42</v>
      </c>
      <c r="E6" s="130"/>
      <c r="F6" s="130"/>
      <c r="G6" s="130"/>
      <c r="H6" s="130" t="s">
        <v>41</v>
      </c>
      <c r="I6" s="130" t="s">
        <v>40</v>
      </c>
      <c r="J6" s="130"/>
      <c r="K6" s="130"/>
      <c r="L6" s="130"/>
      <c r="M6" s="145" t="s">
        <v>39</v>
      </c>
      <c r="N6" s="141" t="s">
        <v>54</v>
      </c>
    </row>
    <row r="7" spans="1:18" ht="18.75" thickBot="1" x14ac:dyDescent="0.3">
      <c r="A7" s="133"/>
      <c r="B7" s="130"/>
      <c r="C7" s="130"/>
      <c r="D7" s="130" t="s">
        <v>38</v>
      </c>
      <c r="E7" s="130"/>
      <c r="F7" s="130" t="s">
        <v>37</v>
      </c>
      <c r="G7" s="130"/>
      <c r="H7" s="130"/>
      <c r="I7" s="130" t="s">
        <v>38</v>
      </c>
      <c r="J7" s="130"/>
      <c r="K7" s="130" t="s">
        <v>37</v>
      </c>
      <c r="L7" s="130"/>
      <c r="M7" s="145"/>
      <c r="N7" s="142"/>
    </row>
    <row r="8" spans="1:18" ht="18.75" thickBot="1" x14ac:dyDescent="0.3">
      <c r="A8" s="133"/>
      <c r="B8" s="130"/>
      <c r="C8" s="130"/>
      <c r="D8" s="41"/>
      <c r="E8" s="41" t="s">
        <v>35</v>
      </c>
      <c r="F8" s="41" t="s">
        <v>36</v>
      </c>
      <c r="G8" s="41" t="s">
        <v>35</v>
      </c>
      <c r="H8" s="130"/>
      <c r="I8" s="41" t="s">
        <v>36</v>
      </c>
      <c r="J8" s="41" t="s">
        <v>35</v>
      </c>
      <c r="K8" s="41" t="s">
        <v>36</v>
      </c>
      <c r="L8" s="41" t="s">
        <v>35</v>
      </c>
      <c r="M8" s="145"/>
      <c r="N8" s="143"/>
    </row>
    <row r="9" spans="1:18" ht="17.25" thickBot="1" x14ac:dyDescent="0.3">
      <c r="A9" s="133"/>
      <c r="B9" s="140"/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</row>
    <row r="10" spans="1:18" ht="18" customHeight="1" thickBot="1" x14ac:dyDescent="0.3">
      <c r="A10" s="133"/>
      <c r="B10" s="74" t="s">
        <v>30</v>
      </c>
      <c r="C10" s="84">
        <v>42492</v>
      </c>
      <c r="D10" s="76">
        <v>0.35416666666666702</v>
      </c>
      <c r="E10" s="77">
        <v>0.5</v>
      </c>
      <c r="F10" s="76">
        <v>0.58333333333333304</v>
      </c>
      <c r="G10" s="78">
        <v>0.72916666666666696</v>
      </c>
      <c r="H10" s="79">
        <f>IF(OR($C10&lt;$C$4,C10&gt;EOMONTH($C$4,0)),"00:00",E10-D10+G10-F10)</f>
        <v>0.29166666666666696</v>
      </c>
      <c r="I10" s="76">
        <v>0.33333333333333298</v>
      </c>
      <c r="J10" s="76">
        <v>0.5</v>
      </c>
      <c r="K10" s="77">
        <v>0.58333333333333304</v>
      </c>
      <c r="L10" s="78">
        <v>0.72916666666666696</v>
      </c>
      <c r="M10" s="88">
        <f>IF(Q10=1,7/24,IF(P10=1,0/24,IF(O10=1,7/24,IF(OR($C10&lt;$C$4,H10&gt;EOMONTH($C$4,0)),"00:00",J10-I10+L10-K10))))</f>
        <v>0.31250000000000089</v>
      </c>
      <c r="N10" s="96"/>
      <c r="O10" s="70">
        <f>IF(OR($C10&lt;$C$4,H10&gt;EOMONTH($C$4,0)),0,IF(COUNTIF(cola,N10)=1,1,0))</f>
        <v>0</v>
      </c>
      <c r="P10" s="65">
        <f>IF(OR($C10&lt;$C$4,H10&gt;EOMONTH($C$4,0)),0,IF(COUNTIF(cola2,N10)=1,1,))</f>
        <v>0</v>
      </c>
      <c r="Q10" s="65">
        <f>IF(OR($C10&lt;$C$4,H10&gt;EOMONTH($C$4,0)),0,IF(COUNTIF(RECUP,N10)=1,1,))</f>
        <v>0</v>
      </c>
    </row>
    <row r="11" spans="1:18" ht="18" customHeight="1" thickBot="1" x14ac:dyDescent="0.3">
      <c r="A11" s="133"/>
      <c r="B11" s="34" t="s">
        <v>29</v>
      </c>
      <c r="C11" s="33">
        <f t="shared" ref="C11:C16" si="0">C10+1</f>
        <v>42493</v>
      </c>
      <c r="D11" s="31">
        <v>0.35416666666666702</v>
      </c>
      <c r="E11" s="30">
        <v>0.5</v>
      </c>
      <c r="F11" s="31">
        <v>0.58333333333333304</v>
      </c>
      <c r="G11" s="29">
        <v>0.72916666666666696</v>
      </c>
      <c r="H11" s="38">
        <f t="shared" ref="H11:H16" si="1">IF(OR($C11&lt;$C$4,C11&gt;EOMONTH($C$4,0)),"00:00",E11-D11+G11-F11)</f>
        <v>0.29166666666666696</v>
      </c>
      <c r="I11" s="31">
        <v>0.33333333333333298</v>
      </c>
      <c r="J11" s="31">
        <v>0.52083333333333304</v>
      </c>
      <c r="K11" s="30">
        <v>0.58333333333333304</v>
      </c>
      <c r="L11" s="29">
        <v>0.72916666666666696</v>
      </c>
      <c r="M11" s="88">
        <f t="shared" ref="M11:M14" si="2">IF(Q11=1,7/24,IF(P11=1,0/24,IF(O11=1,7/24,IF(OR($C11&lt;$C$4,H11&gt;EOMONTH($C$4,0)),"00:00",J11-I11+L11-K11))))</f>
        <v>0.33333333333333393</v>
      </c>
      <c r="N11" s="97"/>
      <c r="O11" s="70">
        <f>IF(OR($C11&lt;$C$4,H11&gt;EOMONTH($C$4,0)),0,IF(COUNTIF(cola,N11)=1,1,0))</f>
        <v>0</v>
      </c>
      <c r="P11" s="65">
        <f>IF(OR($C11&lt;$C$4,H11&gt;EOMONTH($C$4,0)),0,IF(COUNTIF(cola2,N11)=1,1,))</f>
        <v>0</v>
      </c>
      <c r="Q11" s="65">
        <f>IF(OR($C11&lt;$C$4,H11&gt;EOMONTH($C$4,0)),0,IF(COUNTIF(RECUP,N11)=1,1,))</f>
        <v>0</v>
      </c>
    </row>
    <row r="12" spans="1:18" ht="18" customHeight="1" thickBot="1" x14ac:dyDescent="0.3">
      <c r="A12" s="133"/>
      <c r="B12" s="34" t="s">
        <v>28</v>
      </c>
      <c r="C12" s="33">
        <f t="shared" si="0"/>
        <v>42494</v>
      </c>
      <c r="D12" s="31">
        <v>0.35416666666666702</v>
      </c>
      <c r="E12" s="30">
        <v>0.5</v>
      </c>
      <c r="F12" s="31">
        <v>0.58333333333333304</v>
      </c>
      <c r="G12" s="29">
        <v>0.72916666666666696</v>
      </c>
      <c r="H12" s="38">
        <f t="shared" si="1"/>
        <v>0.29166666666666696</v>
      </c>
      <c r="I12" s="31">
        <v>0.33333333333333298</v>
      </c>
      <c r="J12" s="31">
        <v>0.5</v>
      </c>
      <c r="K12" s="30">
        <v>0.58333333333333304</v>
      </c>
      <c r="L12" s="29">
        <v>0.72916666666666696</v>
      </c>
      <c r="M12" s="88">
        <f t="shared" si="2"/>
        <v>0.29166666666666669</v>
      </c>
      <c r="N12" s="98" t="s">
        <v>78</v>
      </c>
      <c r="O12" s="70">
        <f>IF(OR($C12&lt;$C$4,H12&gt;EOMONTH($C$4,0)),0,IF(COUNTIF(cola,N12)=1,1,0))</f>
        <v>0</v>
      </c>
      <c r="P12" s="65">
        <f>IF(OR($C12&lt;$C$4,H12&gt;EOMONTH($C$4,0)),0,IF(COUNTIF(cola2,N12)=1,1,))</f>
        <v>0</v>
      </c>
      <c r="Q12" s="65">
        <f>IF(OR($C12&lt;$C$4,H12&gt;EOMONTH($C$4,0)),0,IF(COUNTIF(RECUP,N12)=1,1,))</f>
        <v>1</v>
      </c>
    </row>
    <row r="13" spans="1:18" ht="18" customHeight="1" thickBot="1" x14ac:dyDescent="0.3">
      <c r="A13" s="133"/>
      <c r="B13" s="34" t="s">
        <v>27</v>
      </c>
      <c r="C13" s="33">
        <f t="shared" si="0"/>
        <v>42495</v>
      </c>
      <c r="D13" s="31">
        <v>0.35416666666666702</v>
      </c>
      <c r="E13" s="30">
        <v>0.5</v>
      </c>
      <c r="F13" s="31">
        <v>0.58333333333333304</v>
      </c>
      <c r="G13" s="29">
        <v>0.72916666666666696</v>
      </c>
      <c r="H13" s="38">
        <f t="shared" si="1"/>
        <v>0.29166666666666696</v>
      </c>
      <c r="I13" s="31">
        <v>0.34375</v>
      </c>
      <c r="J13" s="31">
        <v>0.5</v>
      </c>
      <c r="K13" s="30">
        <v>0.58333333333333304</v>
      </c>
      <c r="L13" s="29">
        <v>0.72916666666666696</v>
      </c>
      <c r="M13" s="88">
        <f t="shared" si="2"/>
        <v>0.30208333333333393</v>
      </c>
      <c r="N13" s="98"/>
      <c r="O13" s="70">
        <f>IF(OR($C13&lt;$C$4,H13&gt;EOMONTH($C$4,0)),0,IF(COUNTIF(cola,N13)=1,1,0))</f>
        <v>0</v>
      </c>
      <c r="P13" s="65">
        <f>IF(OR($C13&lt;$C$4,H13&gt;EOMONTH($C$4,0)),0,IF(COUNTIF(cola2,N13)=1,1,))</f>
        <v>0</v>
      </c>
      <c r="Q13" s="65">
        <f>IF(OR($C13&lt;$C$4,H13&gt;EOMONTH($C$4,0)),0,IF(COUNTIF(RECUP,N13)=1,1,))</f>
        <v>0</v>
      </c>
    </row>
    <row r="14" spans="1:18" ht="18" customHeight="1" thickBot="1" x14ac:dyDescent="0.3">
      <c r="A14" s="133"/>
      <c r="B14" s="34" t="s">
        <v>26</v>
      </c>
      <c r="C14" s="33">
        <f t="shared" si="0"/>
        <v>42496</v>
      </c>
      <c r="D14" s="31">
        <v>0.35416666666666702</v>
      </c>
      <c r="E14" s="30">
        <v>0.5</v>
      </c>
      <c r="F14" s="31">
        <v>0.58333333333333304</v>
      </c>
      <c r="G14" s="29">
        <v>0.72916666666666696</v>
      </c>
      <c r="H14" s="38">
        <f t="shared" si="1"/>
        <v>0.29166666666666696</v>
      </c>
      <c r="I14" s="31">
        <v>0.34375</v>
      </c>
      <c r="J14" s="31">
        <v>0.5</v>
      </c>
      <c r="K14" s="30">
        <v>0.58333333333333304</v>
      </c>
      <c r="L14" s="29">
        <v>0.72916666666666696</v>
      </c>
      <c r="M14" s="88">
        <f t="shared" si="2"/>
        <v>0.30208333333333393</v>
      </c>
      <c r="N14" s="96"/>
      <c r="O14" s="70">
        <f>IF(OR($C14&lt;$C$4,H14&gt;EOMONTH($C$4,0)),0,IF(COUNTIF(cola,N14)=1,1,0))</f>
        <v>0</v>
      </c>
      <c r="P14" s="65">
        <f>IF(OR($C14&lt;$C$4,H14&gt;EOMONTH($C$4,0)),0,IF(COUNTIF(cola2,N14)=1,1,))</f>
        <v>0</v>
      </c>
      <c r="Q14" s="65">
        <f>IF(OR($C14&lt;$C$4,H14&gt;EOMONTH($C$4,0)),0,IF(COUNTIF(RECUP,N14)=1,1,))</f>
        <v>0</v>
      </c>
    </row>
    <row r="15" spans="1:18" ht="18" customHeight="1" thickBot="1" x14ac:dyDescent="0.3">
      <c r="A15" s="133"/>
      <c r="B15" s="34" t="s">
        <v>25</v>
      </c>
      <c r="C15" s="33">
        <f t="shared" si="0"/>
        <v>42497</v>
      </c>
      <c r="D15" s="31"/>
      <c r="E15" s="30"/>
      <c r="F15" s="31"/>
      <c r="G15" s="29"/>
      <c r="H15" s="38">
        <f t="shared" si="1"/>
        <v>0</v>
      </c>
      <c r="I15" s="31"/>
      <c r="J15" s="31"/>
      <c r="K15" s="30"/>
      <c r="L15" s="29"/>
      <c r="M15" s="88">
        <f>IF(OR($C15&lt;$C$4,H15&gt;EOMONTH($C$4,0)),"00:00",J15-I15+L15-K15)</f>
        <v>0</v>
      </c>
      <c r="N15" s="97"/>
      <c r="O15" s="70"/>
    </row>
    <row r="16" spans="1:18" ht="18" customHeight="1" thickBot="1" x14ac:dyDescent="0.3">
      <c r="A16" s="133"/>
      <c r="B16" s="56" t="s">
        <v>24</v>
      </c>
      <c r="C16" s="57">
        <f t="shared" si="0"/>
        <v>42498</v>
      </c>
      <c r="D16" s="58"/>
      <c r="E16" s="59"/>
      <c r="F16" s="58"/>
      <c r="G16" s="60"/>
      <c r="H16" s="38">
        <f t="shared" si="1"/>
        <v>0</v>
      </c>
      <c r="I16" s="58"/>
      <c r="J16" s="58"/>
      <c r="K16" s="59"/>
      <c r="L16" s="60"/>
      <c r="M16" s="85">
        <f>IF(OR($C16&lt;$C$4,H16&gt;EOMONTH($C$4,0)),"00:00",J16-I16+L16-K16)</f>
        <v>0</v>
      </c>
      <c r="N16" s="96"/>
      <c r="O16" s="70"/>
    </row>
    <row r="17" spans="1:17" ht="30" customHeight="1" thickBot="1" x14ac:dyDescent="0.3">
      <c r="A17" s="133"/>
      <c r="B17" s="119" t="s">
        <v>34</v>
      </c>
      <c r="C17" s="120"/>
      <c r="D17" s="120"/>
      <c r="E17" s="120"/>
      <c r="F17" s="120"/>
      <c r="G17" s="121"/>
      <c r="H17" s="61">
        <f>SUM(H10:H16)</f>
        <v>1.4583333333333348</v>
      </c>
      <c r="I17" s="136" t="s">
        <v>34</v>
      </c>
      <c r="J17" s="120"/>
      <c r="K17" s="120"/>
      <c r="L17" s="121"/>
      <c r="M17" s="55">
        <f>SUM(M10:M16)</f>
        <v>1.5416666666666694</v>
      </c>
      <c r="N17" s="95">
        <f>O10+O11+O12+O13+O14</f>
        <v>0</v>
      </c>
      <c r="O17" s="70"/>
    </row>
    <row r="18" spans="1:17" ht="18" customHeight="1" thickBot="1" x14ac:dyDescent="0.3">
      <c r="A18" s="133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</row>
    <row r="19" spans="1:17" ht="18" customHeight="1" thickBot="1" x14ac:dyDescent="0.3">
      <c r="A19" s="133"/>
      <c r="B19" s="40" t="s">
        <v>30</v>
      </c>
      <c r="C19" s="39">
        <f>C16+1</f>
        <v>42499</v>
      </c>
      <c r="D19" s="37">
        <v>0.35416666666666702</v>
      </c>
      <c r="E19" s="36">
        <v>0.5</v>
      </c>
      <c r="F19" s="37">
        <v>0.58333333333333304</v>
      </c>
      <c r="G19" s="35">
        <v>0.72916666666666696</v>
      </c>
      <c r="H19" s="38">
        <f>IF(OR($C19&lt;$C$4,C19&gt;EOMONTH($C$4,0)),"00:00",E19-D19+G19-F19)</f>
        <v>0.29166666666666696</v>
      </c>
      <c r="I19" s="37">
        <v>0.33333333333333298</v>
      </c>
      <c r="J19" s="37">
        <v>0.5</v>
      </c>
      <c r="K19" s="36">
        <v>0.58333333333333304</v>
      </c>
      <c r="L19" s="35">
        <v>0.72916666666666696</v>
      </c>
      <c r="M19" s="44">
        <f>IF(Q19=1,7/24,IF(P19=1,0/24,IF(O19=1,7/24,IF(OR($C19&lt;$C$4,H19&gt;EOMONTH($C$4,0)),"00:00",J19-I19+L19-K19))))</f>
        <v>0.31250000000000089</v>
      </c>
      <c r="N19" s="99"/>
      <c r="O19" s="65">
        <f>IF(OR($C19&lt;$C$4,H19&gt;EOMONTH($C$4,0)),0,IF(COUNTIF(cola,N19)=1,1,0))</f>
        <v>0</v>
      </c>
      <c r="P19" s="65">
        <f>IF(OR($C19&lt;$C$4,H19&gt;EOMONTH($C$4,0)),0,IF(COUNTIF(cola2,N19)=1,1,))</f>
        <v>0</v>
      </c>
      <c r="Q19" s="65">
        <f>IF(OR($C19&lt;$C$4,H19&gt;EOMONTH($C$4,0)),0,IF(COUNTIF(RECUP,N19)=1,1,))</f>
        <v>0</v>
      </c>
    </row>
    <row r="20" spans="1:17" ht="18" customHeight="1" thickBot="1" x14ac:dyDescent="0.3">
      <c r="A20" s="133"/>
      <c r="B20" s="34" t="s">
        <v>29</v>
      </c>
      <c r="C20" s="33">
        <f t="shared" ref="C20:C25" si="3">C19+1</f>
        <v>42500</v>
      </c>
      <c r="D20" s="31">
        <v>0.35416666666666702</v>
      </c>
      <c r="E20" s="30">
        <v>0.5</v>
      </c>
      <c r="F20" s="31">
        <v>0.58333333333333304</v>
      </c>
      <c r="G20" s="29">
        <v>0.72916666666666696</v>
      </c>
      <c r="H20" s="38">
        <f t="shared" ref="H20:H25" si="4">IF(OR($C20&lt;$C$4,C20&gt;EOMONTH($C$4,0)),"00:00",E20-D20+G20-F20)</f>
        <v>0.29166666666666696</v>
      </c>
      <c r="I20" s="31">
        <v>0.33333333333333298</v>
      </c>
      <c r="J20" s="31">
        <v>0.52083333333333304</v>
      </c>
      <c r="K20" s="30">
        <v>0.58333333333333304</v>
      </c>
      <c r="L20" s="29">
        <v>0.72916666666666696</v>
      </c>
      <c r="M20" s="44">
        <f t="shared" ref="M20:M23" si="5">IF(Q20=1,7/24,IF(P20=1,0/24,IF(O20=1,7/24,IF(OR($C20&lt;$C$4,H20&gt;EOMONTH($C$4,0)),"00:00",J20-I20+L20-K20))))</f>
        <v>0.33333333333333393</v>
      </c>
      <c r="N20" s="100"/>
      <c r="O20" s="65">
        <f>IF(OR($C20&lt;$C$4,H20&gt;EOMONTH($C$4,0)),0,IF(COUNTIF(cola,N20)=1,1,0))</f>
        <v>0</v>
      </c>
      <c r="P20" s="65">
        <f>IF(OR($C20&lt;$C$4,H20&gt;EOMONTH($C$4,0)),0,IF(COUNTIF(cola2,N20)=1,1,))</f>
        <v>0</v>
      </c>
      <c r="Q20" s="65">
        <f>IF(OR($C20&lt;$C$4,H20&gt;EOMONTH($C$4,0)),0,IF(COUNTIF(RECUP,N20)=1,1,))</f>
        <v>0</v>
      </c>
    </row>
    <row r="21" spans="1:17" ht="18" customHeight="1" thickBot="1" x14ac:dyDescent="0.3">
      <c r="A21" s="133"/>
      <c r="B21" s="34" t="s">
        <v>28</v>
      </c>
      <c r="C21" s="33">
        <f t="shared" si="3"/>
        <v>42501</v>
      </c>
      <c r="D21" s="31">
        <v>0.35416666666666702</v>
      </c>
      <c r="E21" s="30">
        <v>0.5</v>
      </c>
      <c r="F21" s="31">
        <v>0.58333333333333304</v>
      </c>
      <c r="G21" s="29">
        <v>0.72916666666666696</v>
      </c>
      <c r="H21" s="38">
        <f t="shared" si="4"/>
        <v>0.29166666666666696</v>
      </c>
      <c r="I21" s="31">
        <v>0.33333333333333298</v>
      </c>
      <c r="J21" s="31">
        <v>0.5</v>
      </c>
      <c r="K21" s="30">
        <v>0.58333333333333304</v>
      </c>
      <c r="L21" s="29">
        <v>0.72916666666666696</v>
      </c>
      <c r="M21" s="44">
        <f t="shared" si="5"/>
        <v>0.31250000000000089</v>
      </c>
      <c r="N21" s="101"/>
      <c r="O21" s="65">
        <f>IF(OR($C21&lt;$C$4,H21&gt;EOMONTH($C$4,0)),0,IF(COUNTIF(cola,N21)=1,1,0))</f>
        <v>0</v>
      </c>
      <c r="P21" s="65">
        <f>IF(OR($C21&lt;$C$4,H21&gt;EOMONTH($C$4,0)),0,IF(COUNTIF(cola2,N21)=1,1,))</f>
        <v>0</v>
      </c>
      <c r="Q21" s="65">
        <f>IF(OR($C21&lt;$C$4,H21&gt;EOMONTH($C$4,0)),0,IF(COUNTIF(RECUP,N21)=1,1,))</f>
        <v>0</v>
      </c>
    </row>
    <row r="22" spans="1:17" ht="18" customHeight="1" thickBot="1" x14ac:dyDescent="0.3">
      <c r="A22" s="133"/>
      <c r="B22" s="34" t="s">
        <v>27</v>
      </c>
      <c r="C22" s="33">
        <f t="shared" si="3"/>
        <v>42502</v>
      </c>
      <c r="D22" s="31">
        <v>0.35416666666666702</v>
      </c>
      <c r="E22" s="30">
        <v>0.5</v>
      </c>
      <c r="F22" s="31">
        <v>0.58333333333333304</v>
      </c>
      <c r="G22" s="29">
        <v>0.72916666666666696</v>
      </c>
      <c r="H22" s="38">
        <f t="shared" si="4"/>
        <v>0.29166666666666696</v>
      </c>
      <c r="I22" s="31">
        <v>0.33333333333333298</v>
      </c>
      <c r="J22" s="31">
        <v>0.5</v>
      </c>
      <c r="K22" s="30">
        <v>0.58333333333333304</v>
      </c>
      <c r="L22" s="29">
        <v>0.72916666666666696</v>
      </c>
      <c r="M22" s="44">
        <f t="shared" si="5"/>
        <v>0.31250000000000089</v>
      </c>
      <c r="N22" s="100"/>
      <c r="O22" s="65">
        <f>IF(OR($C22&lt;$C$4,H22&gt;EOMONTH($C$4,0)),0,IF(COUNTIF(cola,N22)=1,1,0))</f>
        <v>0</v>
      </c>
      <c r="P22" s="65">
        <f>IF(OR($C22&lt;$C$4,H22&gt;EOMONTH($C$4,0)),0,IF(COUNTIF(cola2,N22)=1,1,))</f>
        <v>0</v>
      </c>
      <c r="Q22" s="65">
        <f>IF(OR($C22&lt;$C$4,H22&gt;EOMONTH($C$4,0)),0,IF(COUNTIF(RECUP,N22)=1,1,))</f>
        <v>0</v>
      </c>
    </row>
    <row r="23" spans="1:17" ht="18" customHeight="1" thickBot="1" x14ac:dyDescent="0.3">
      <c r="A23" s="133"/>
      <c r="B23" s="34" t="s">
        <v>26</v>
      </c>
      <c r="C23" s="33">
        <f t="shared" si="3"/>
        <v>42503</v>
      </c>
      <c r="D23" s="31">
        <v>0.35416666666666702</v>
      </c>
      <c r="E23" s="30">
        <v>0.5</v>
      </c>
      <c r="F23" s="31">
        <v>0.58333333333333304</v>
      </c>
      <c r="G23" s="29">
        <v>0.72916666666666696</v>
      </c>
      <c r="H23" s="38">
        <f t="shared" si="4"/>
        <v>0.29166666666666696</v>
      </c>
      <c r="I23" s="31">
        <v>0.33333333333333298</v>
      </c>
      <c r="J23" s="31">
        <v>0.5</v>
      </c>
      <c r="K23" s="30">
        <v>0.58333333333333304</v>
      </c>
      <c r="L23" s="29">
        <v>0.72916666666666696</v>
      </c>
      <c r="M23" s="44">
        <f t="shared" si="5"/>
        <v>0.31250000000000089</v>
      </c>
      <c r="N23" s="101"/>
      <c r="O23" s="65">
        <f>IF(OR($C23&lt;$C$4,H23&gt;EOMONTH($C$4,0)),0,IF(COUNTIF(cola,N23)=1,1,0))</f>
        <v>0</v>
      </c>
      <c r="P23" s="65">
        <f>IF(OR($C23&lt;$C$4,H23&gt;EOMONTH($C$4,0)),0,IF(COUNTIF(cola2,N23)=1,1,))</f>
        <v>0</v>
      </c>
      <c r="Q23" s="65">
        <f>IF(OR($C23&lt;$C$4,H23&gt;EOMONTH($C$4,0)),0,IF(COUNTIF(RECUP,N23)=1,1,))</f>
        <v>0</v>
      </c>
    </row>
    <row r="24" spans="1:17" ht="18" customHeight="1" thickBot="1" x14ac:dyDescent="0.3">
      <c r="A24" s="133"/>
      <c r="B24" s="34" t="s">
        <v>25</v>
      </c>
      <c r="C24" s="33">
        <f t="shared" si="3"/>
        <v>42504</v>
      </c>
      <c r="D24" s="31"/>
      <c r="E24" s="30"/>
      <c r="F24" s="31"/>
      <c r="G24" s="29"/>
      <c r="H24" s="38">
        <f t="shared" si="4"/>
        <v>0</v>
      </c>
      <c r="I24" s="31"/>
      <c r="J24" s="31"/>
      <c r="K24" s="30"/>
      <c r="L24" s="29"/>
      <c r="M24" s="44">
        <f>IF(OR($C24&lt;$C$4,H24&gt;EOMONTH($C$4,0)),"00:00",J24-I24+L24-K24)</f>
        <v>0</v>
      </c>
      <c r="N24" s="101"/>
    </row>
    <row r="25" spans="1:17" ht="18" customHeight="1" thickBot="1" x14ac:dyDescent="0.3">
      <c r="A25" s="133"/>
      <c r="B25" s="56" t="s">
        <v>24</v>
      </c>
      <c r="C25" s="57">
        <f t="shared" si="3"/>
        <v>42505</v>
      </c>
      <c r="D25" s="58"/>
      <c r="E25" s="59"/>
      <c r="F25" s="58"/>
      <c r="G25" s="60"/>
      <c r="H25" s="38">
        <f t="shared" si="4"/>
        <v>0</v>
      </c>
      <c r="I25" s="58"/>
      <c r="J25" s="58"/>
      <c r="K25" s="59"/>
      <c r="L25" s="60"/>
      <c r="M25" s="44">
        <f>IF(OR($C25&lt;$C$4,H25&gt;EOMONTH($C$4,0)),"00:00",J25-I25+L25-K25)</f>
        <v>0</v>
      </c>
      <c r="N25" s="100"/>
    </row>
    <row r="26" spans="1:17" ht="30" customHeight="1" thickBot="1" x14ac:dyDescent="0.3">
      <c r="A26" s="133"/>
      <c r="B26" s="119" t="s">
        <v>33</v>
      </c>
      <c r="C26" s="120"/>
      <c r="D26" s="120"/>
      <c r="E26" s="120"/>
      <c r="F26" s="120"/>
      <c r="G26" s="121"/>
      <c r="H26" s="61">
        <f>SUM(H19:H25)</f>
        <v>1.4583333333333348</v>
      </c>
      <c r="I26" s="136" t="s">
        <v>33</v>
      </c>
      <c r="J26" s="120"/>
      <c r="K26" s="120"/>
      <c r="L26" s="121"/>
      <c r="M26" s="62">
        <f>SUM(M19:M25)</f>
        <v>1.5833333333333375</v>
      </c>
      <c r="N26" s="52">
        <f>O19+O20+O21+O22+O23</f>
        <v>0</v>
      </c>
    </row>
    <row r="27" spans="1:17" ht="18" customHeight="1" thickBot="1" x14ac:dyDescent="0.3">
      <c r="A27" s="133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</row>
    <row r="28" spans="1:17" ht="18" customHeight="1" thickBot="1" x14ac:dyDescent="0.3">
      <c r="A28" s="133"/>
      <c r="B28" s="40" t="s">
        <v>30</v>
      </c>
      <c r="C28" s="39">
        <f>C25+1</f>
        <v>42506</v>
      </c>
      <c r="D28" s="37">
        <v>0.35416666666666702</v>
      </c>
      <c r="E28" s="36">
        <v>0.5</v>
      </c>
      <c r="F28" s="37">
        <v>0.58333333333333304</v>
      </c>
      <c r="G28" s="35">
        <v>0.72916666666666696</v>
      </c>
      <c r="H28" s="38">
        <f>IF(OR($C28&lt;$C$4,C28&gt;EOMONTH($C$4,0)),"00:00",E28-D28+G28-F28)</f>
        <v>0.29166666666666696</v>
      </c>
      <c r="I28" s="37">
        <v>0.33333333333333298</v>
      </c>
      <c r="J28" s="37">
        <v>0.5</v>
      </c>
      <c r="K28" s="36">
        <v>0.58333333333333304</v>
      </c>
      <c r="L28" s="35">
        <v>0.72916666666666696</v>
      </c>
      <c r="M28" s="86">
        <f>IF(Q28=1,7/24,IF(P28=1,0/24,IF(O28=1,7/24,IF(OR($C28&lt;$C$4,H28&gt;EOMONTH($C$4,0)),"00:00",J28-I28+L28-K28))))</f>
        <v>0.31250000000000089</v>
      </c>
      <c r="N28" s="99"/>
      <c r="O28" s="65">
        <f>IF(OR($C28&lt;$C$4,H28&gt;EOMONTH($C$4,0)),0,IF(COUNTIF(cola,N28)=1,1,0))</f>
        <v>0</v>
      </c>
      <c r="P28" s="65">
        <f>IF(OR($C28&lt;$C$4,H28&gt;EOMONTH($C$4,0)),0,IF(COUNTIF(cola2,N28)=1,1,))</f>
        <v>0</v>
      </c>
      <c r="Q28" s="65">
        <f>IF(OR($C28&lt;$C$4,H28&gt;EOMONTH($C$4,0)),0,IF(COUNTIF(RECUP,N28)=1,1,))</f>
        <v>0</v>
      </c>
    </row>
    <row r="29" spans="1:17" ht="18" customHeight="1" thickBot="1" x14ac:dyDescent="0.3">
      <c r="A29" s="133"/>
      <c r="B29" s="34" t="s">
        <v>29</v>
      </c>
      <c r="C29" s="33">
        <f t="shared" ref="C29:C34" si="6">C28+1</f>
        <v>42507</v>
      </c>
      <c r="D29" s="31">
        <v>0.35416666666666702</v>
      </c>
      <c r="E29" s="30">
        <v>0.5</v>
      </c>
      <c r="F29" s="31">
        <v>0.58333333333333304</v>
      </c>
      <c r="G29" s="29">
        <v>0.72916666666666696</v>
      </c>
      <c r="H29" s="32">
        <f>IF(OR($C29&lt;$C$4,C29&gt;EOMONTH($C$4,0)),"00:00",E29-D29+G29-F29)</f>
        <v>0.29166666666666696</v>
      </c>
      <c r="I29" s="31">
        <v>0.33333333333333298</v>
      </c>
      <c r="J29" s="31">
        <v>0.52083333333333304</v>
      </c>
      <c r="K29" s="30">
        <v>0.58333333333333304</v>
      </c>
      <c r="L29" s="29">
        <v>0.72916666666666696</v>
      </c>
      <c r="M29" s="86">
        <f t="shared" ref="M29:M32" si="7">IF(Q29=1,7/24,IF(P29=1,0/24,IF(O29=1,7/24,IF(OR($C29&lt;$C$4,H29&gt;EOMONTH($C$4,0)),"00:00",J29-I29+L29-K29))))</f>
        <v>0.33333333333333393</v>
      </c>
      <c r="N29" s="101"/>
      <c r="O29" s="65">
        <f>IF(OR($C29&lt;$C$4,H29&gt;EOMONTH($C$4,0)),0,IF(COUNTIF(cola,N29)=1,1,0))</f>
        <v>0</v>
      </c>
      <c r="P29" s="65">
        <f>IF(OR($C29&lt;$C$4,H29&gt;EOMONTH($C$4,0)),0,IF(COUNTIF(cola2,N29)=1,1,))</f>
        <v>0</v>
      </c>
      <c r="Q29" s="65">
        <f>IF(OR($C29&lt;$C$4,H29&gt;EOMONTH($C$4,0)),0,IF(COUNTIF(RECUP,N29)=1,1,))</f>
        <v>0</v>
      </c>
    </row>
    <row r="30" spans="1:17" ht="18" customHeight="1" thickBot="1" x14ac:dyDescent="0.3">
      <c r="A30" s="133"/>
      <c r="B30" s="34" t="s">
        <v>28</v>
      </c>
      <c r="C30" s="33">
        <f t="shared" si="6"/>
        <v>42508</v>
      </c>
      <c r="D30" s="31">
        <v>0.35416666666666702</v>
      </c>
      <c r="E30" s="30">
        <v>0.5</v>
      </c>
      <c r="F30" s="31">
        <v>0.58333333333333304</v>
      </c>
      <c r="G30" s="29">
        <v>0.72916666666666696</v>
      </c>
      <c r="H30" s="32">
        <f>IF(OR($C30&lt;$C$4,C30&gt;EOMONTH($C$4,0)),"00:00",E30-D30+G30-F30)</f>
        <v>0.29166666666666696</v>
      </c>
      <c r="I30" s="31">
        <v>0.33333333333333298</v>
      </c>
      <c r="J30" s="31">
        <v>0.5</v>
      </c>
      <c r="K30" s="30">
        <v>0.58333333333333304</v>
      </c>
      <c r="L30" s="29">
        <v>0.72916666666666696</v>
      </c>
      <c r="M30" s="86">
        <f t="shared" si="7"/>
        <v>0.31250000000000089</v>
      </c>
      <c r="N30" s="101"/>
      <c r="O30" s="65">
        <f>IF(OR($C30&lt;$C$4,H30&gt;EOMONTH($C$4,0)),0,IF(COUNTIF(cola,N30)=1,1,0))</f>
        <v>0</v>
      </c>
      <c r="P30" s="65">
        <f>IF(OR($C30&lt;$C$4,H30&gt;EOMONTH($C$4,0)),0,IF(COUNTIF(cola2,N30)=1,1,))</f>
        <v>0</v>
      </c>
      <c r="Q30" s="65">
        <f>IF(OR($C30&lt;$C$4,H30&gt;EOMONTH($C$4,0)),0,IF(COUNTIF(RECUP,N30)=1,1,))</f>
        <v>0</v>
      </c>
    </row>
    <row r="31" spans="1:17" ht="18" customHeight="1" thickBot="1" x14ac:dyDescent="0.3">
      <c r="A31" s="133"/>
      <c r="B31" s="34" t="s">
        <v>27</v>
      </c>
      <c r="C31" s="33">
        <f t="shared" si="6"/>
        <v>42509</v>
      </c>
      <c r="D31" s="31">
        <v>0.35416666666666702</v>
      </c>
      <c r="E31" s="30">
        <v>0.5</v>
      </c>
      <c r="F31" s="31">
        <v>0.58333333333333304</v>
      </c>
      <c r="G31" s="29">
        <v>0.72916666666666696</v>
      </c>
      <c r="H31" s="32">
        <f>IF(OR($C31&lt;$C$4,C31&gt;EOMONTH($C$4,0)),"00:00",E31-D31+G31-F31)</f>
        <v>0.29166666666666696</v>
      </c>
      <c r="I31" s="31">
        <v>0.33333333333333298</v>
      </c>
      <c r="J31" s="31">
        <v>0.5</v>
      </c>
      <c r="K31" s="30">
        <v>0.58333333333333304</v>
      </c>
      <c r="L31" s="29">
        <v>0.72916666666666696</v>
      </c>
      <c r="M31" s="86">
        <f t="shared" si="7"/>
        <v>0.31250000000000089</v>
      </c>
      <c r="N31" s="100"/>
      <c r="O31" s="65">
        <f>IF(OR($C31&lt;$C$4,H31&gt;EOMONTH($C$4,0)),0,IF(COUNTIF(cola,N31)=1,1,0))</f>
        <v>0</v>
      </c>
      <c r="P31" s="65">
        <f>IF(OR($C31&lt;$C$4,H31&gt;EOMONTH($C$4,0)),0,IF(COUNTIF(cola2,N31)=1,1,))</f>
        <v>0</v>
      </c>
      <c r="Q31" s="65">
        <f>IF(OR($C31&lt;$C$4,H31&gt;EOMONTH($C$4,0)),0,IF(COUNTIF(RECUP,N31)=1,1,))</f>
        <v>0</v>
      </c>
    </row>
    <row r="32" spans="1:17" ht="18" customHeight="1" thickBot="1" x14ac:dyDescent="0.3">
      <c r="A32" s="133"/>
      <c r="B32" s="34" t="s">
        <v>26</v>
      </c>
      <c r="C32" s="33">
        <f t="shared" si="6"/>
        <v>42510</v>
      </c>
      <c r="D32" s="31">
        <v>0.35416666666666702</v>
      </c>
      <c r="E32" s="30">
        <v>0.5</v>
      </c>
      <c r="F32" s="31">
        <v>0.58333333333333304</v>
      </c>
      <c r="G32" s="29">
        <v>0.72916666666666696</v>
      </c>
      <c r="H32" s="32">
        <f>IF(OR($C32&lt;$C$4,C32&gt;EOMONTH($C$4,0)),"00:00",E32-D32+G32-F32)</f>
        <v>0.29166666666666696</v>
      </c>
      <c r="I32" s="31">
        <v>0.33333333333333298</v>
      </c>
      <c r="J32" s="31">
        <v>0.5</v>
      </c>
      <c r="K32" s="30">
        <v>0.58333333333333304</v>
      </c>
      <c r="L32" s="29">
        <v>0.72916666666666696</v>
      </c>
      <c r="M32" s="86">
        <f t="shared" si="7"/>
        <v>0.31250000000000089</v>
      </c>
      <c r="N32" s="102"/>
      <c r="O32" s="65">
        <f>IF(OR($C32&lt;$C$4,H32&gt;EOMONTH($C$4,0)),0,IF(COUNTIF(cola,N32)=1,1,0))</f>
        <v>0</v>
      </c>
      <c r="P32" s="65">
        <f>IF(OR($C32&lt;$C$4,H32&gt;EOMONTH($C$4,0)),0,IF(COUNTIF(cola2,N32)=1,1,))</f>
        <v>0</v>
      </c>
      <c r="Q32" s="65">
        <f>IF(OR($C32&lt;$C$4,H32&gt;EOMONTH($C$4,0)),0,IF(COUNTIF(RECUP,N32)=1,1,))</f>
        <v>0</v>
      </c>
    </row>
    <row r="33" spans="1:17" ht="18" customHeight="1" thickBot="1" x14ac:dyDescent="0.3">
      <c r="A33" s="133"/>
      <c r="B33" s="34" t="s">
        <v>25</v>
      </c>
      <c r="C33" s="33">
        <f t="shared" si="6"/>
        <v>42511</v>
      </c>
      <c r="D33" s="31"/>
      <c r="E33" s="30"/>
      <c r="F33" s="31"/>
      <c r="G33" s="29"/>
      <c r="H33" s="32">
        <f t="shared" ref="H33:H34" si="8">IF(OR($C33&lt;$C$4,C33&gt;EOMONTH($C$4,0)),"00:00",E33-D33+G33-F33)</f>
        <v>0</v>
      </c>
      <c r="I33" s="31"/>
      <c r="J33" s="31"/>
      <c r="K33" s="30"/>
      <c r="L33" s="29"/>
      <c r="M33" s="88">
        <f t="shared" ref="M33:M34" si="9">IF(OR($C33&lt;$C$4,H33&gt;EOMONTH($C$4,0)),"00:00",J33-I33+L33-K33)</f>
        <v>0</v>
      </c>
      <c r="N33" s="101"/>
    </row>
    <row r="34" spans="1:17" ht="18" customHeight="1" thickBot="1" x14ac:dyDescent="0.3">
      <c r="A34" s="133"/>
      <c r="B34" s="56" t="s">
        <v>24</v>
      </c>
      <c r="C34" s="57">
        <f t="shared" si="6"/>
        <v>42512</v>
      </c>
      <c r="D34" s="58"/>
      <c r="E34" s="59"/>
      <c r="F34" s="58"/>
      <c r="G34" s="60"/>
      <c r="H34" s="32">
        <f t="shared" si="8"/>
        <v>0</v>
      </c>
      <c r="I34" s="58"/>
      <c r="J34" s="58"/>
      <c r="K34" s="59"/>
      <c r="L34" s="60"/>
      <c r="M34" s="87">
        <f t="shared" si="9"/>
        <v>0</v>
      </c>
      <c r="N34" s="100"/>
    </row>
    <row r="35" spans="1:17" ht="30" customHeight="1" thickBot="1" x14ac:dyDescent="0.3">
      <c r="A35" s="133"/>
      <c r="B35" s="119" t="s">
        <v>32</v>
      </c>
      <c r="C35" s="120"/>
      <c r="D35" s="120"/>
      <c r="E35" s="120"/>
      <c r="F35" s="120"/>
      <c r="G35" s="121"/>
      <c r="H35" s="61">
        <f>SUM(H28:H34)</f>
        <v>1.4583333333333348</v>
      </c>
      <c r="I35" s="136" t="s">
        <v>32</v>
      </c>
      <c r="J35" s="120"/>
      <c r="K35" s="120"/>
      <c r="L35" s="121"/>
      <c r="M35" s="62">
        <f>SUM(M28:M34)</f>
        <v>1.5833333333333375</v>
      </c>
      <c r="N35" s="52">
        <f>O28+O29+O30+O31+O32</f>
        <v>0</v>
      </c>
    </row>
    <row r="36" spans="1:17" ht="18" customHeight="1" thickBot="1" x14ac:dyDescent="0.3">
      <c r="A36" s="133"/>
      <c r="B36" s="138"/>
      <c r="C36" s="138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7" ht="18" customHeight="1" thickBot="1" x14ac:dyDescent="0.3">
      <c r="A37" s="133"/>
      <c r="B37" s="40" t="s">
        <v>30</v>
      </c>
      <c r="C37" s="39">
        <f>C34+1</f>
        <v>42513</v>
      </c>
      <c r="D37" s="37">
        <v>0.35416666666666702</v>
      </c>
      <c r="E37" s="36">
        <v>0.5</v>
      </c>
      <c r="F37" s="37">
        <v>0.58333333333333304</v>
      </c>
      <c r="G37" s="35">
        <v>0.73958333333333304</v>
      </c>
      <c r="H37" s="38">
        <f>IF(OR($C37&lt;$C$4,C37&gt;EOMONTH($C$4,0)),"00:00",E37-D37+G37-F37)</f>
        <v>0.30208333333333304</v>
      </c>
      <c r="I37" s="37">
        <v>0.33333333333333298</v>
      </c>
      <c r="J37" s="37">
        <v>0.5</v>
      </c>
      <c r="K37" s="36">
        <v>0.58333333333333304</v>
      </c>
      <c r="L37" s="35">
        <v>0.72916666666666696</v>
      </c>
      <c r="M37" s="44">
        <f>IF(Q37=1,7/24,IF(P37=1,0/24,IF(O37=1,7/24,IF(OR($C37&lt;$C$4,H37&gt;EOMONTH($C$4,0)),"00:00",J37-I37+L37-K37))))</f>
        <v>0.31250000000000089</v>
      </c>
      <c r="N37" s="99"/>
      <c r="O37" s="65">
        <f>IF(OR($C37&lt;$C$4,H37&gt;EOMONTH($C$4,0)),0,IF(COUNTIF(cola,N37)=1,1,0))</f>
        <v>0</v>
      </c>
      <c r="P37" s="65">
        <f>IF(OR($C37&lt;$C$4,H37&gt;EOMONTH($C$4,0)),0,IF(COUNTIF(cola2,N37)=1,1,))</f>
        <v>0</v>
      </c>
      <c r="Q37" s="65">
        <f>IF(OR($C37&lt;$C$4,H37&gt;EOMONTH($C$4,0)),0,IF(COUNTIF(RECUP,N37)=1,1,))</f>
        <v>0</v>
      </c>
    </row>
    <row r="38" spans="1:17" ht="18" customHeight="1" thickBot="1" x14ac:dyDescent="0.3">
      <c r="A38" s="133"/>
      <c r="B38" s="34" t="s">
        <v>29</v>
      </c>
      <c r="C38" s="33">
        <f t="shared" ref="C38:C43" si="10">C37+1</f>
        <v>42514</v>
      </c>
      <c r="D38" s="31">
        <v>0.35416666666666702</v>
      </c>
      <c r="E38" s="30">
        <v>0.5</v>
      </c>
      <c r="F38" s="31">
        <v>0.58333333333333304</v>
      </c>
      <c r="G38" s="29">
        <v>0.72916666666666696</v>
      </c>
      <c r="H38" s="38">
        <f t="shared" ref="H38:H43" si="11">IF(OR($C38&lt;$C$4,C38&gt;EOMONTH($C$4,0)),"00:00",E38-D38+G38-F38)</f>
        <v>0.29166666666666696</v>
      </c>
      <c r="I38" s="31">
        <v>0.33333333333333298</v>
      </c>
      <c r="J38" s="31">
        <v>0.52083333333333304</v>
      </c>
      <c r="K38" s="30">
        <v>0.58333333333333304</v>
      </c>
      <c r="L38" s="29">
        <v>0.72916666666666696</v>
      </c>
      <c r="M38" s="44">
        <f t="shared" ref="M38:M39" si="12">IF(Q38=1,7/24,IF(P38=1,0/24,IF(O38=1,7/24,IF(OR($C38&lt;$C$4,H38&gt;EOMONTH($C$4,0)),"00:00",J38-I38+L38-K38))))</f>
        <v>0.33333333333333393</v>
      </c>
      <c r="N38" s="101"/>
      <c r="O38" s="65">
        <f>IF(OR($C38&lt;$C$4,H38&gt;EOMONTH($C$4,0)),0,IF(COUNTIF(cola,N38)=1,1,0))</f>
        <v>0</v>
      </c>
      <c r="P38" s="65">
        <f>IF(OR($C38&lt;$C$4,H38&gt;EOMONTH($C$4,0)),0,IF(COUNTIF(cola2,N38)=1,1,))</f>
        <v>0</v>
      </c>
      <c r="Q38" s="65">
        <f>IF(OR($C38&lt;$C$4,H38&gt;EOMONTH($C$4,0)),0,IF(COUNTIF(RECUP,N38)=1,1,))</f>
        <v>0</v>
      </c>
    </row>
    <row r="39" spans="1:17" ht="18" customHeight="1" thickBot="1" x14ac:dyDescent="0.3">
      <c r="A39" s="133"/>
      <c r="B39" s="34" t="s">
        <v>28</v>
      </c>
      <c r="C39" s="33">
        <f t="shared" si="10"/>
        <v>42515</v>
      </c>
      <c r="D39" s="31">
        <v>0.35416666666666702</v>
      </c>
      <c r="E39" s="30">
        <v>0.5</v>
      </c>
      <c r="F39" s="31">
        <v>0.58333333333333304</v>
      </c>
      <c r="G39" s="29">
        <v>0.72916666666666696</v>
      </c>
      <c r="H39" s="38">
        <f t="shared" si="11"/>
        <v>0.29166666666666696</v>
      </c>
      <c r="I39" s="31">
        <v>0.33333333333333298</v>
      </c>
      <c r="J39" s="31">
        <v>0.5</v>
      </c>
      <c r="K39" s="30">
        <v>0.58333333333333304</v>
      </c>
      <c r="L39" s="29">
        <v>0.72916666666666696</v>
      </c>
      <c r="M39" s="44">
        <f t="shared" si="12"/>
        <v>0.31250000000000089</v>
      </c>
      <c r="N39" s="101"/>
      <c r="O39" s="65">
        <f>IF(OR($C39&lt;$C$4,H39&gt;EOMONTH($C$4,0)),0,IF(COUNTIF(cola,N39)=1,1,0))</f>
        <v>0</v>
      </c>
      <c r="P39" s="65">
        <f>IF(OR($C39&lt;$C$4,H39&gt;EOMONTH($C$4,0)),0,IF(COUNTIF(cola2,N39)=1,1,))</f>
        <v>0</v>
      </c>
      <c r="Q39" s="65">
        <f>IF(OR($C39&lt;$C$4,H39&gt;EOMONTH($C$4,0)),0,IF(COUNTIF(RECUP,N39)=1,1,))</f>
        <v>0</v>
      </c>
    </row>
    <row r="40" spans="1:17" ht="18" customHeight="1" thickBot="1" x14ac:dyDescent="0.3">
      <c r="A40" s="133"/>
      <c r="B40" s="34" t="s">
        <v>27</v>
      </c>
      <c r="C40" s="33">
        <f t="shared" si="10"/>
        <v>42516</v>
      </c>
      <c r="D40" s="31">
        <v>0.35416666666666702</v>
      </c>
      <c r="E40" s="30">
        <v>0.5</v>
      </c>
      <c r="F40" s="31">
        <v>0.58333333333333304</v>
      </c>
      <c r="G40" s="29">
        <v>0.72916666666666696</v>
      </c>
      <c r="H40" s="38">
        <f t="shared" si="11"/>
        <v>0.29166666666666696</v>
      </c>
      <c r="I40" s="31">
        <v>0.33333333333333298</v>
      </c>
      <c r="J40" s="31">
        <v>0.5</v>
      </c>
      <c r="K40" s="30">
        <v>0.58333333333333304</v>
      </c>
      <c r="L40" s="29">
        <v>0.72916666666666696</v>
      </c>
      <c r="M40" s="44">
        <f>IF(Q40=1,7/24,IF(P40=1,0/24,IF(O40=1,7/24,IF(OR($C40&lt;$C$4,H40&gt;EOMONTH($C$4,0)),"00:00",J40-I40+L40-K40))))</f>
        <v>0.31250000000000089</v>
      </c>
      <c r="N40" s="101"/>
      <c r="O40" s="65">
        <f>IF(OR($C40&lt;$C$4,H40&gt;EOMONTH($C$4,0)),0,IF(COUNTIF(cola,N40)=1,1,0))</f>
        <v>0</v>
      </c>
      <c r="P40" s="65">
        <f>IF(OR($C40&lt;$C$4,H40&gt;EOMONTH($C$4,0)),0,IF(COUNTIF(cola2,N40)=1,1,))</f>
        <v>0</v>
      </c>
      <c r="Q40" s="65">
        <f>IF(OR($C40&lt;$C$4,H40&gt;EOMONTH($C$4,0)),0,IF(COUNTIF(RECUP,N40)=1,1,))</f>
        <v>0</v>
      </c>
    </row>
    <row r="41" spans="1:17" ht="18" customHeight="1" thickBot="1" x14ac:dyDescent="0.3">
      <c r="A41" s="133"/>
      <c r="B41" s="34" t="s">
        <v>26</v>
      </c>
      <c r="C41" s="33">
        <f t="shared" si="10"/>
        <v>42517</v>
      </c>
      <c r="D41" s="31">
        <v>0.35416666666666702</v>
      </c>
      <c r="E41" s="30">
        <v>0.5</v>
      </c>
      <c r="F41" s="31">
        <v>0.58333333333333304</v>
      </c>
      <c r="G41" s="29">
        <v>0.72916666666666696</v>
      </c>
      <c r="H41" s="38">
        <f t="shared" si="11"/>
        <v>0.29166666666666696</v>
      </c>
      <c r="I41" s="31">
        <v>0.33333333333333298</v>
      </c>
      <c r="J41" s="31">
        <v>0.5</v>
      </c>
      <c r="K41" s="30">
        <v>0.58333333333333304</v>
      </c>
      <c r="L41" s="29">
        <v>0.72916666666666696</v>
      </c>
      <c r="M41" s="44">
        <f>IF(Q41=1,7/24,IF(P41=1,0/24,IF(O41=1,7/24,IF(OR($C41&lt;$C$4,H41&gt;EOMONTH($C$4,0)),"00:00",J41-I41+L41-K41))))</f>
        <v>0.31250000000000089</v>
      </c>
      <c r="N41" s="101"/>
      <c r="O41" s="65">
        <f>IF(OR($C41&lt;$C$4,H41&gt;EOMONTH($C$4,0)),0,IF(COUNTIF(cola,N41)=1,1,0))</f>
        <v>0</v>
      </c>
      <c r="P41" s="65">
        <f>IF(OR($C41&lt;$C$4,H41&gt;EOMONTH($C$4,0)),0,IF(COUNTIF(cola2,N41)=1,1,))</f>
        <v>0</v>
      </c>
      <c r="Q41" s="65">
        <f>IF(OR($C41&lt;$C$4,H41&gt;EOMONTH($C$4,0)),0,IF(COUNTIF(RECUP,N41)=1,1,))</f>
        <v>0</v>
      </c>
    </row>
    <row r="42" spans="1:17" ht="18" customHeight="1" thickBot="1" x14ac:dyDescent="0.3">
      <c r="A42" s="133"/>
      <c r="B42" s="34" t="s">
        <v>25</v>
      </c>
      <c r="C42" s="33">
        <f t="shared" si="10"/>
        <v>42518</v>
      </c>
      <c r="D42" s="31"/>
      <c r="E42" s="30"/>
      <c r="F42" s="31"/>
      <c r="G42" s="29"/>
      <c r="H42" s="38">
        <f t="shared" si="11"/>
        <v>0</v>
      </c>
      <c r="I42" s="31"/>
      <c r="J42" s="31"/>
      <c r="K42" s="30"/>
      <c r="L42" s="29"/>
      <c r="M42" s="44">
        <f t="shared" ref="M42:M43" si="13">IF(OR($C42&lt;$C$4,H42&gt;EOMONTH($C$4,0)),"00:00",J42-I42+L42-K42)</f>
        <v>0</v>
      </c>
      <c r="N42" s="100"/>
    </row>
    <row r="43" spans="1:17" ht="18" customHeight="1" thickBot="1" x14ac:dyDescent="0.3">
      <c r="A43" s="133"/>
      <c r="B43" s="56" t="s">
        <v>24</v>
      </c>
      <c r="C43" s="57">
        <f t="shared" si="10"/>
        <v>42519</v>
      </c>
      <c r="D43" s="58"/>
      <c r="E43" s="59"/>
      <c r="F43" s="58"/>
      <c r="G43" s="60"/>
      <c r="H43" s="38">
        <f t="shared" si="11"/>
        <v>0</v>
      </c>
      <c r="I43" s="58"/>
      <c r="J43" s="58"/>
      <c r="K43" s="59"/>
      <c r="L43" s="60"/>
      <c r="M43" s="44">
        <f t="shared" si="13"/>
        <v>0</v>
      </c>
      <c r="N43" s="103"/>
    </row>
    <row r="44" spans="1:17" ht="30" customHeight="1" thickBot="1" x14ac:dyDescent="0.3">
      <c r="A44" s="133"/>
      <c r="B44" s="119" t="s">
        <v>31</v>
      </c>
      <c r="C44" s="120"/>
      <c r="D44" s="120"/>
      <c r="E44" s="120"/>
      <c r="F44" s="120"/>
      <c r="G44" s="137"/>
      <c r="H44" s="61">
        <f>SUM(H37:H43)</f>
        <v>1.4687500000000009</v>
      </c>
      <c r="I44" s="136" t="s">
        <v>31</v>
      </c>
      <c r="J44" s="120"/>
      <c r="K44" s="120"/>
      <c r="L44" s="121"/>
      <c r="M44" s="62">
        <f>SUM(M37:M43)</f>
        <v>1.5833333333333375</v>
      </c>
      <c r="N44" s="52">
        <f>O37+O38+O39+O40+O41</f>
        <v>0</v>
      </c>
    </row>
    <row r="45" spans="1:17" ht="18" customHeight="1" thickBot="1" x14ac:dyDescent="0.3">
      <c r="A45" s="133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</row>
    <row r="46" spans="1:17" ht="18" customHeight="1" x14ac:dyDescent="0.25">
      <c r="A46" s="133"/>
      <c r="B46" s="74" t="s">
        <v>30</v>
      </c>
      <c r="C46" s="75">
        <f>C43+1</f>
        <v>42520</v>
      </c>
      <c r="D46" s="76">
        <v>0.35416666666666702</v>
      </c>
      <c r="E46" s="77">
        <v>0.5</v>
      </c>
      <c r="F46" s="76">
        <v>0.58333333333333304</v>
      </c>
      <c r="G46" s="78">
        <v>0.72916666666666696</v>
      </c>
      <c r="H46" s="79">
        <f>IF(OR($C46&lt;$C$4,C46&gt;EOMONTH($C$4,0)),"00:00",E46-D46+G46-F46)</f>
        <v>0.29166666666666696</v>
      </c>
      <c r="I46" s="76">
        <v>0.33333333333333298</v>
      </c>
      <c r="J46" s="76">
        <v>0.5</v>
      </c>
      <c r="K46" s="77">
        <v>0.54166666666666696</v>
      </c>
      <c r="L46" s="78">
        <v>0.72916666666666696</v>
      </c>
      <c r="M46" s="80">
        <f>IF(Q46=1,7/24,IF(P46=1,0/24,IF(O46=1,7/24,IF(OR($C46&lt;$C$4,H46&gt;EOMONTH($C$4,0)),"00:00",J46-I46+L46-K46))))</f>
        <v>0.35416666666666696</v>
      </c>
      <c r="N46" s="104"/>
      <c r="O46" s="65">
        <f>IF(OR($C46&lt;$C$4,H46&gt;EOMONTH($C$4,0)),0,IF(COUNTIF(cola,N46)=1,1,0))</f>
        <v>0</v>
      </c>
      <c r="P46" s="65">
        <f>IF(OR($C46&lt;$C$4,H46&gt;EOMONTH($C$4,0)),0,IF(COUNTIF(cola2,N46)=1,1,))</f>
        <v>0</v>
      </c>
      <c r="Q46" s="65">
        <f>IF(OR($C46&lt;$C$4,H46&gt;EOMONTH($C$4,0)),0,IF(COUNTIF(RECUP,N46)=1,1,))</f>
        <v>0</v>
      </c>
    </row>
    <row r="47" spans="1:17" ht="18" customHeight="1" x14ac:dyDescent="0.25">
      <c r="A47" s="133"/>
      <c r="B47" s="34" t="s">
        <v>29</v>
      </c>
      <c r="C47" s="33">
        <f t="shared" ref="C47:C52" si="14">C46+1</f>
        <v>42521</v>
      </c>
      <c r="D47" s="31">
        <v>0.35416666666666702</v>
      </c>
      <c r="E47" s="30">
        <v>0.5</v>
      </c>
      <c r="F47" s="31">
        <v>0.58333333333333304</v>
      </c>
      <c r="G47" s="29">
        <v>0.72916666666666696</v>
      </c>
      <c r="H47" s="79">
        <f t="shared" ref="H47:H52" si="15">IF(OR($C47&lt;$C$4,C47&gt;EOMONTH($C$4,0)),"00:00",E47-D47+G47-F47)</f>
        <v>0.29166666666666696</v>
      </c>
      <c r="I47" s="31">
        <v>0.33333333333333298</v>
      </c>
      <c r="J47" s="31">
        <v>0.5</v>
      </c>
      <c r="K47" s="30">
        <v>0.5</v>
      </c>
      <c r="L47" s="29">
        <v>0.72916666666666696</v>
      </c>
      <c r="M47" s="80">
        <f t="shared" ref="M47:M50" si="16">IF(Q47=1,7/24,IF(P47=1,0/24,IF(O47=1,7/24,IF(OR($C47&lt;$C$4,H47&gt;EOMONTH($C$4,0)),"00:00",J47-I47+L47-K47))))</f>
        <v>0.39583333333333393</v>
      </c>
      <c r="N47" s="101"/>
      <c r="O47" s="65">
        <f>IF(OR($C47&lt;$C$4,H47&gt;EOMONTH($C$4,0)),0,IF(COUNTIF(cola,N47)=1,1,0))</f>
        <v>0</v>
      </c>
      <c r="P47" s="65">
        <f>IF(OR($C47&lt;$C$4,H47&gt;EOMONTH($C$4,0)),0,IF(COUNTIF(cola2,N47)=1,1,))</f>
        <v>0</v>
      </c>
      <c r="Q47" s="65">
        <f>IF(OR($C47&lt;$C$4,H47&gt;EOMONTH($C$4,0)),0,IF(COUNTIF(RECUP,N47)=1,1,))</f>
        <v>0</v>
      </c>
    </row>
    <row r="48" spans="1:17" ht="18" customHeight="1" x14ac:dyDescent="0.25">
      <c r="A48" s="133"/>
      <c r="B48" s="34" t="s">
        <v>28</v>
      </c>
      <c r="C48" s="33">
        <f t="shared" si="14"/>
        <v>42522</v>
      </c>
      <c r="D48" s="31">
        <v>0.35416666666666702</v>
      </c>
      <c r="E48" s="30">
        <v>0.5</v>
      </c>
      <c r="F48" s="31">
        <v>0.58333333333333304</v>
      </c>
      <c r="G48" s="29">
        <v>0.72916666666666696</v>
      </c>
      <c r="H48" s="79" t="str">
        <f t="shared" si="15"/>
        <v>00:00</v>
      </c>
      <c r="I48" s="31">
        <v>0.33333333333333298</v>
      </c>
      <c r="J48" s="31">
        <v>0.5</v>
      </c>
      <c r="K48" s="30">
        <v>0.5</v>
      </c>
      <c r="L48" s="29">
        <v>0.72916666666666696</v>
      </c>
      <c r="M48" s="80" t="str">
        <f t="shared" si="16"/>
        <v>00:00</v>
      </c>
      <c r="N48" s="100"/>
      <c r="O48" s="65">
        <f>IF(OR($C48&lt;$C$4,H48&gt;EOMONTH($C$4,0)),0,IF(COUNTIF(cola,N48)=1,1,0))</f>
        <v>0</v>
      </c>
      <c r="P48" s="65">
        <f>IF(OR($C48&lt;$C$4,H48&gt;EOMONTH($C$4,0)),0,IF(COUNTIF(cola2,N48)=1,1,))</f>
        <v>0</v>
      </c>
      <c r="Q48" s="65">
        <f>IF(OR($C48&lt;$C$4,H48&gt;EOMONTH($C$4,0)),0,IF(COUNTIF(RECUP,N48)=1,1,))</f>
        <v>0</v>
      </c>
    </row>
    <row r="49" spans="1:17" ht="18" customHeight="1" x14ac:dyDescent="0.25">
      <c r="A49" s="133"/>
      <c r="B49" s="34" t="s">
        <v>27</v>
      </c>
      <c r="C49" s="33">
        <f t="shared" si="14"/>
        <v>42523</v>
      </c>
      <c r="D49" s="31">
        <v>0.35416666666666702</v>
      </c>
      <c r="E49" s="30">
        <v>0.5</v>
      </c>
      <c r="F49" s="31">
        <v>0.58333333333333304</v>
      </c>
      <c r="G49" s="29">
        <v>0.72916666666666696</v>
      </c>
      <c r="H49" s="79" t="str">
        <f t="shared" si="15"/>
        <v>00:00</v>
      </c>
      <c r="I49" s="31">
        <v>0.33333333333333298</v>
      </c>
      <c r="J49" s="31">
        <v>0.5</v>
      </c>
      <c r="K49" s="30">
        <v>0.54166666666666696</v>
      </c>
      <c r="L49" s="29">
        <v>0.72916666666666696</v>
      </c>
      <c r="M49" s="80" t="str">
        <f t="shared" si="16"/>
        <v>00:00</v>
      </c>
      <c r="N49" s="101"/>
      <c r="O49" s="65">
        <f>IF(OR($C49&lt;$C$4,H49&gt;EOMONTH($C$4,0)),0,IF(COUNTIF(cola,N49)=1,1,0))</f>
        <v>0</v>
      </c>
      <c r="P49" s="65">
        <f>IF(OR($C49&lt;$C$4,H49&gt;EOMONTH($C$4,0)),0,IF(COUNTIF(cola2,N49)=1,1,))</f>
        <v>0</v>
      </c>
      <c r="Q49" s="65">
        <f>IF(OR($C49&lt;$C$4,H49&gt;EOMONTH($C$4,0)),0,IF(COUNTIF(RECUP,N49)=1,1,))</f>
        <v>0</v>
      </c>
    </row>
    <row r="50" spans="1:17" ht="18" customHeight="1" x14ac:dyDescent="0.25">
      <c r="A50" s="133"/>
      <c r="B50" s="34" t="s">
        <v>26</v>
      </c>
      <c r="C50" s="33">
        <f t="shared" si="14"/>
        <v>42524</v>
      </c>
      <c r="D50" s="31">
        <v>0.35416666666666702</v>
      </c>
      <c r="E50" s="30">
        <v>0.5</v>
      </c>
      <c r="F50" s="31">
        <v>0.58333333333333304</v>
      </c>
      <c r="G50" s="29">
        <v>0.72916666666666696</v>
      </c>
      <c r="H50" s="79" t="str">
        <f t="shared" si="15"/>
        <v>00:00</v>
      </c>
      <c r="I50" s="31">
        <v>0.33333333333333298</v>
      </c>
      <c r="J50" s="31">
        <v>0.5</v>
      </c>
      <c r="K50" s="30">
        <v>0.54166666666666696</v>
      </c>
      <c r="L50" s="29">
        <v>0.72916666666666696</v>
      </c>
      <c r="M50" s="80" t="str">
        <f t="shared" si="16"/>
        <v>00:00</v>
      </c>
      <c r="N50" s="100"/>
      <c r="O50" s="65">
        <f>IF(OR($C50&lt;$C$4,H50&gt;EOMONTH($C$4,0)),0,IF(COUNTIF(cola,N50)=1,1,0))</f>
        <v>0</v>
      </c>
      <c r="P50" s="65">
        <f>IF(OR($C50&lt;$C$4,H50&gt;EOMONTH($C$4,0)),0,IF(COUNTIF(cola2,N50)=1,1,))</f>
        <v>0</v>
      </c>
      <c r="Q50" s="65">
        <f>IF(OR($C50&lt;$C$4,H50&gt;EOMONTH($C$4,0)),0,IF(COUNTIF(RECUP,N50)=1,1,))</f>
        <v>0</v>
      </c>
    </row>
    <row r="51" spans="1:17" ht="18" customHeight="1" x14ac:dyDescent="0.25">
      <c r="A51" s="133"/>
      <c r="B51" s="34" t="s">
        <v>25</v>
      </c>
      <c r="C51" s="33">
        <f t="shared" si="14"/>
        <v>42525</v>
      </c>
      <c r="D51" s="31"/>
      <c r="E51" s="30"/>
      <c r="F51" s="31"/>
      <c r="G51" s="29"/>
      <c r="H51" s="79" t="str">
        <f t="shared" si="15"/>
        <v>00:00</v>
      </c>
      <c r="I51" s="31"/>
      <c r="J51" s="31"/>
      <c r="K51" s="30"/>
      <c r="L51" s="29"/>
      <c r="M51" s="80" t="str">
        <f t="shared" ref="M51:M52" si="17">IF(OR($C51&lt;$C$4,H51&gt;EOMONTH($C$4,0)),"00:00",J51-I51+L51-K51)</f>
        <v>00:00</v>
      </c>
      <c r="N51" s="101"/>
    </row>
    <row r="52" spans="1:17" ht="18" customHeight="1" thickBot="1" x14ac:dyDescent="0.3">
      <c r="A52" s="133"/>
      <c r="B52" s="56" t="s">
        <v>24</v>
      </c>
      <c r="C52" s="57">
        <f t="shared" si="14"/>
        <v>42526</v>
      </c>
      <c r="D52" s="58"/>
      <c r="E52" s="59"/>
      <c r="F52" s="58"/>
      <c r="G52" s="60"/>
      <c r="H52" s="79" t="str">
        <f t="shared" si="15"/>
        <v>00:00</v>
      </c>
      <c r="I52" s="58"/>
      <c r="J52" s="58"/>
      <c r="K52" s="59"/>
      <c r="L52" s="60"/>
      <c r="M52" s="80" t="str">
        <f t="shared" si="17"/>
        <v>00:00</v>
      </c>
      <c r="N52" s="100"/>
    </row>
    <row r="53" spans="1:17" ht="30" customHeight="1" thickBot="1" x14ac:dyDescent="0.3">
      <c r="A53" s="133"/>
      <c r="B53" s="119" t="s">
        <v>23</v>
      </c>
      <c r="C53" s="120"/>
      <c r="D53" s="120"/>
      <c r="E53" s="120"/>
      <c r="F53" s="120"/>
      <c r="G53" s="121"/>
      <c r="H53" s="61">
        <f>SUM(H46:H52)</f>
        <v>0.58333333333333393</v>
      </c>
      <c r="I53" s="136" t="s">
        <v>23</v>
      </c>
      <c r="J53" s="120"/>
      <c r="K53" s="120"/>
      <c r="L53" s="121"/>
      <c r="M53" s="62">
        <f>SUM(M46:M52)</f>
        <v>0.75000000000000089</v>
      </c>
      <c r="N53" s="52">
        <f>O46+O47+O48+O49+O50</f>
        <v>0</v>
      </c>
    </row>
    <row r="54" spans="1:17" ht="33" customHeight="1" thickBot="1" x14ac:dyDescent="0.3">
      <c r="A54" s="66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5"/>
    </row>
    <row r="55" spans="1:17" ht="30" customHeight="1" thickBot="1" x14ac:dyDescent="0.3">
      <c r="A55" s="66"/>
      <c r="B55" s="106" t="s">
        <v>84</v>
      </c>
      <c r="C55" s="107"/>
      <c r="D55" s="94">
        <f>solde</f>
        <v>0</v>
      </c>
      <c r="E55" s="131"/>
      <c r="F55" s="126" t="s">
        <v>52</v>
      </c>
      <c r="G55" s="127"/>
      <c r="H55" s="63">
        <f>$H$17+$H$26+$H$35+$H$44+$H$53</f>
        <v>6.4270833333333393</v>
      </c>
      <c r="I55" s="67"/>
      <c r="J55" s="67"/>
      <c r="K55" s="128" t="s">
        <v>51</v>
      </c>
      <c r="L55" s="129"/>
      <c r="M55" s="69">
        <f>$M$17+$M$26+$M$35+$M$44+$M$53</f>
        <v>7.0416666666666829</v>
      </c>
      <c r="N55" s="65"/>
    </row>
    <row r="56" spans="1:17" ht="18" customHeight="1" thickBot="1" x14ac:dyDescent="0.3">
      <c r="A56" s="66"/>
      <c r="B56" s="91"/>
      <c r="C56" s="92"/>
      <c r="D56" s="91"/>
      <c r="E56" s="131"/>
      <c r="F56" s="67"/>
      <c r="G56" s="67"/>
      <c r="H56" s="67"/>
      <c r="I56" s="67"/>
      <c r="J56" s="67"/>
      <c r="K56" s="67"/>
      <c r="L56" s="67"/>
      <c r="M56" s="67"/>
      <c r="N56" s="65"/>
    </row>
    <row r="57" spans="1:17" ht="18" customHeight="1" x14ac:dyDescent="0.25">
      <c r="A57" s="66"/>
      <c r="B57" s="67"/>
      <c r="C57" s="67"/>
      <c r="D57" s="67"/>
      <c r="E57" s="67"/>
      <c r="F57" s="67"/>
      <c r="G57" s="67"/>
      <c r="H57" s="67"/>
      <c r="I57" s="67"/>
      <c r="J57" s="67"/>
      <c r="K57" s="111" t="s">
        <v>80</v>
      </c>
      <c r="L57" s="112"/>
      <c r="M57" s="113"/>
      <c r="N57" s="117">
        <f>HR</f>
        <v>0</v>
      </c>
    </row>
    <row r="58" spans="1:17" ht="17.25" thickBot="1" x14ac:dyDescent="0.3">
      <c r="A58" s="66"/>
      <c r="B58" s="67"/>
      <c r="C58" s="67"/>
      <c r="D58" s="67"/>
      <c r="E58" s="67"/>
      <c r="F58" s="67"/>
      <c r="G58" s="67"/>
      <c r="H58" s="67"/>
      <c r="I58" s="67"/>
      <c r="J58" s="67"/>
      <c r="K58" s="114"/>
      <c r="L58" s="115"/>
      <c r="M58" s="116"/>
      <c r="N58" s="118"/>
    </row>
    <row r="59" spans="1:17" ht="30" customHeight="1" thickBot="1" x14ac:dyDescent="0.3">
      <c r="A59" s="66"/>
      <c r="B59" s="67"/>
      <c r="C59" s="67"/>
      <c r="D59" s="67"/>
      <c r="E59" s="67"/>
      <c r="F59" s="124" t="s">
        <v>53</v>
      </c>
      <c r="G59" s="125"/>
      <c r="H59" s="64">
        <f>$M$55-$H$55</f>
        <v>0.6145833333333437</v>
      </c>
      <c r="I59" s="67"/>
      <c r="J59" s="68"/>
      <c r="K59" s="106" t="s">
        <v>81</v>
      </c>
      <c r="L59" s="107"/>
      <c r="M59" s="108"/>
      <c r="N59" s="53">
        <f>N53+N44+N35+N26+N17</f>
        <v>0</v>
      </c>
    </row>
    <row r="60" spans="1:17" ht="21" customHeight="1" x14ac:dyDescent="0.25">
      <c r="A60" s="66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70"/>
    </row>
    <row r="61" spans="1:17" x14ac:dyDescent="0.25">
      <c r="A61" s="67"/>
      <c r="B61" s="67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65"/>
    </row>
    <row r="62" spans="1:17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65"/>
    </row>
    <row r="63" spans="1:17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65"/>
    </row>
    <row r="64" spans="1:17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65"/>
    </row>
    <row r="65" spans="1:14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65"/>
    </row>
    <row r="66" spans="1:14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65"/>
    </row>
    <row r="67" spans="1:14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65"/>
    </row>
    <row r="68" spans="1:14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65"/>
    </row>
    <row r="69" spans="1:14" x14ac:dyDescent="0.25">
      <c r="B69" s="105"/>
    </row>
    <row r="100" spans="1:4" x14ac:dyDescent="0.25">
      <c r="A100" s="27">
        <v>40148</v>
      </c>
      <c r="B100" s="28">
        <v>0</v>
      </c>
      <c r="D100" s="43">
        <v>1</v>
      </c>
    </row>
    <row r="101" spans="1:4" x14ac:dyDescent="0.25">
      <c r="A101" s="27">
        <v>40179</v>
      </c>
      <c r="B101" s="28">
        <v>1.0416666666666666E-2</v>
      </c>
      <c r="D101" s="43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2">
    <mergeCell ref="B9:N9"/>
    <mergeCell ref="N6:N8"/>
    <mergeCell ref="B2:M2"/>
    <mergeCell ref="D7:E7"/>
    <mergeCell ref="F7:G7"/>
    <mergeCell ref="I7:J7"/>
    <mergeCell ref="K7:L7"/>
    <mergeCell ref="H6:H8"/>
    <mergeCell ref="M6:M8"/>
    <mergeCell ref="B5:N5"/>
    <mergeCell ref="A1:A53"/>
    <mergeCell ref="B1:M1"/>
    <mergeCell ref="B3:M3"/>
    <mergeCell ref="I35:L35"/>
    <mergeCell ref="B44:G44"/>
    <mergeCell ref="I44:L44"/>
    <mergeCell ref="B53:G53"/>
    <mergeCell ref="I53:L53"/>
    <mergeCell ref="B17:G17"/>
    <mergeCell ref="I17:L17"/>
    <mergeCell ref="B26:G26"/>
    <mergeCell ref="I26:L26"/>
    <mergeCell ref="B18:N18"/>
    <mergeCell ref="B27:N27"/>
    <mergeCell ref="B36:N36"/>
    <mergeCell ref="B45:N45"/>
    <mergeCell ref="K59:M59"/>
    <mergeCell ref="I4:K4"/>
    <mergeCell ref="D4:H4"/>
    <mergeCell ref="K57:M58"/>
    <mergeCell ref="N57:N58"/>
    <mergeCell ref="B35:G35"/>
    <mergeCell ref="L4:M4"/>
    <mergeCell ref="F59:G59"/>
    <mergeCell ref="F55:G55"/>
    <mergeCell ref="K55:L55"/>
    <mergeCell ref="B6:B8"/>
    <mergeCell ref="C6:C8"/>
    <mergeCell ref="D6:G6"/>
    <mergeCell ref="I6:L6"/>
    <mergeCell ref="E55:E56"/>
    <mergeCell ref="B55:C55"/>
  </mergeCells>
  <conditionalFormatting sqref="B10:N53">
    <cfRule type="expression" dxfId="0" priority="1">
      <formula>$N10="FERIE"</formula>
    </cfRule>
  </conditionalFormatting>
  <dataValidations count="3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</dataValidations>
  <printOptions horizontalCentered="1" verticalCentered="1"/>
  <pageMargins left="0.14000000000000001" right="0.14000000000000001" top="0.18" bottom="0.31" header="0.3" footer="0.3"/>
  <pageSetup paperSize="9" scale="45" orientation="landscape" horizontalDpi="4294967293" r:id="rId1"/>
  <ignoredErrors>
    <ignoredError sqref="M15 M24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'LEGENDES ABSENCES'!$A$2:$A$15</xm:f>
          </x14:formula1>
          <xm:sqref>N10:N16 N19:N25 N28:N34 N37:N43 N46:N52</xm:sqref>
        </x14:dataValidation>
        <x14:dataValidation type="list" allowBlank="1" showInputMessage="1" showErrorMessage="1">
          <x14:formula1>
            <xm:f>'LEGENDES ABSENCES'!$A$3:$A$15</xm:f>
          </x14:formula1>
          <xm:sqref>N10:N16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41"/>
  <sheetViews>
    <sheetView workbookViewId="0">
      <selection activeCell="G2" sqref="G2:L5"/>
    </sheetView>
  </sheetViews>
  <sheetFormatPr baseColWidth="10" defaultRowHeight="15" x14ac:dyDescent="0.25"/>
  <cols>
    <col min="13" max="14" width="0" hidden="1" customWidth="1"/>
  </cols>
  <sheetData>
    <row r="1" spans="1:20" ht="15.75" thickBot="1" x14ac:dyDescent="0.3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93"/>
      <c r="N1" s="93"/>
      <c r="O1" s="10"/>
      <c r="P1" s="10"/>
      <c r="Q1" s="10"/>
      <c r="R1" s="10"/>
      <c r="S1" s="10"/>
    </row>
    <row r="2" spans="1:20" x14ac:dyDescent="0.25">
      <c r="A2" s="147" t="s">
        <v>49</v>
      </c>
      <c r="B2" s="166"/>
      <c r="C2" s="166"/>
      <c r="D2" s="166"/>
      <c r="E2" s="166"/>
      <c r="F2" s="167"/>
      <c r="G2" s="156">
        <f>M1+N1</f>
        <v>0</v>
      </c>
      <c r="H2" s="157"/>
      <c r="I2" s="157"/>
      <c r="J2" s="157"/>
      <c r="K2" s="157"/>
      <c r="L2" s="158"/>
      <c r="M2" s="10"/>
      <c r="N2" s="10"/>
      <c r="O2" s="10"/>
      <c r="P2" s="10"/>
      <c r="Q2" s="10"/>
      <c r="R2" s="10"/>
      <c r="S2" s="10"/>
      <c r="T2" s="10"/>
    </row>
    <row r="3" spans="1:20" x14ac:dyDescent="0.25">
      <c r="A3" s="168"/>
      <c r="B3" s="169"/>
      <c r="C3" s="169"/>
      <c r="D3" s="169"/>
      <c r="E3" s="169"/>
      <c r="F3" s="170"/>
      <c r="G3" s="159"/>
      <c r="H3" s="160"/>
      <c r="I3" s="160"/>
      <c r="J3" s="160"/>
      <c r="K3" s="160"/>
      <c r="L3" s="161"/>
      <c r="M3" s="10"/>
      <c r="N3" s="10"/>
      <c r="O3" s="10"/>
      <c r="P3" s="10"/>
      <c r="Q3" s="10"/>
      <c r="R3" s="10"/>
      <c r="S3" s="10"/>
      <c r="T3" s="10"/>
    </row>
    <row r="4" spans="1:20" x14ac:dyDescent="0.25">
      <c r="A4" s="168"/>
      <c r="B4" s="169"/>
      <c r="C4" s="169"/>
      <c r="D4" s="169"/>
      <c r="E4" s="169"/>
      <c r="F4" s="170"/>
      <c r="G4" s="159"/>
      <c r="H4" s="160"/>
      <c r="I4" s="160"/>
      <c r="J4" s="160"/>
      <c r="K4" s="160"/>
      <c r="L4" s="161"/>
      <c r="M4" s="10"/>
      <c r="N4" s="10"/>
      <c r="O4" s="10"/>
      <c r="P4" s="10"/>
      <c r="Q4" s="10"/>
      <c r="R4" s="10"/>
      <c r="S4" s="10"/>
      <c r="T4" s="10"/>
    </row>
    <row r="5" spans="1:20" ht="15.75" thickBot="1" x14ac:dyDescent="0.3">
      <c r="A5" s="171"/>
      <c r="B5" s="172"/>
      <c r="C5" s="172"/>
      <c r="D5" s="172"/>
      <c r="E5" s="172"/>
      <c r="F5" s="173"/>
      <c r="G5" s="162"/>
      <c r="H5" s="163"/>
      <c r="I5" s="163"/>
      <c r="J5" s="163"/>
      <c r="K5" s="163"/>
      <c r="L5" s="164"/>
      <c r="M5" s="10"/>
      <c r="N5" s="10"/>
      <c r="O5" s="10"/>
      <c r="P5" s="10"/>
      <c r="Q5" s="10"/>
      <c r="R5" s="10"/>
      <c r="S5" s="10"/>
      <c r="T5" s="10"/>
    </row>
    <row r="6" spans="1:20" x14ac:dyDescent="0.25">
      <c r="A6" s="147" t="s">
        <v>50</v>
      </c>
      <c r="B6" s="148"/>
      <c r="C6" s="148"/>
      <c r="D6" s="148"/>
      <c r="E6" s="148"/>
      <c r="F6" s="149"/>
      <c r="G6" s="174">
        <v>0</v>
      </c>
      <c r="H6" s="175"/>
      <c r="I6" s="175"/>
      <c r="J6" s="175"/>
      <c r="K6" s="175"/>
      <c r="L6" s="176"/>
      <c r="M6" s="10"/>
      <c r="N6" s="10"/>
      <c r="O6" s="10"/>
      <c r="P6" s="10"/>
      <c r="Q6" s="10"/>
      <c r="R6" s="10"/>
      <c r="S6" s="10"/>
      <c r="T6" s="10"/>
    </row>
    <row r="7" spans="1:20" x14ac:dyDescent="0.25">
      <c r="A7" s="150"/>
      <c r="B7" s="151"/>
      <c r="C7" s="151"/>
      <c r="D7" s="151"/>
      <c r="E7" s="151"/>
      <c r="F7" s="152"/>
      <c r="G7" s="177"/>
      <c r="H7" s="178"/>
      <c r="I7" s="178"/>
      <c r="J7" s="178"/>
      <c r="K7" s="178"/>
      <c r="L7" s="179"/>
      <c r="M7" s="10"/>
      <c r="N7" s="10"/>
      <c r="O7" s="10"/>
      <c r="P7" s="10"/>
      <c r="Q7" s="10"/>
      <c r="R7" s="10"/>
      <c r="S7" s="10"/>
      <c r="T7" s="10"/>
    </row>
    <row r="8" spans="1:20" x14ac:dyDescent="0.25">
      <c r="A8" s="150"/>
      <c r="B8" s="151"/>
      <c r="C8" s="151"/>
      <c r="D8" s="151"/>
      <c r="E8" s="151"/>
      <c r="F8" s="152"/>
      <c r="G8" s="177"/>
      <c r="H8" s="178"/>
      <c r="I8" s="178"/>
      <c r="J8" s="178"/>
      <c r="K8" s="178"/>
      <c r="L8" s="179"/>
      <c r="M8" s="10"/>
      <c r="N8" s="10"/>
      <c r="O8" s="10"/>
      <c r="P8" s="10"/>
      <c r="Q8" s="10"/>
      <c r="R8" s="10"/>
      <c r="S8" s="10"/>
      <c r="T8" s="10"/>
    </row>
    <row r="9" spans="1:20" ht="15.75" thickBot="1" x14ac:dyDescent="0.3">
      <c r="A9" s="153"/>
      <c r="B9" s="154"/>
      <c r="C9" s="154"/>
      <c r="D9" s="154"/>
      <c r="E9" s="154"/>
      <c r="F9" s="155"/>
      <c r="G9" s="180"/>
      <c r="H9" s="181"/>
      <c r="I9" s="181"/>
      <c r="J9" s="181"/>
      <c r="K9" s="181"/>
      <c r="L9" s="182"/>
      <c r="M9" s="10"/>
      <c r="N9" s="10"/>
      <c r="O9" s="10"/>
      <c r="P9" s="10"/>
      <c r="Q9" s="10"/>
      <c r="R9" s="10"/>
      <c r="S9" s="10"/>
      <c r="T9" s="10"/>
    </row>
    <row r="10" spans="1:20" x14ac:dyDescent="0.25">
      <c r="A10" s="147" t="s">
        <v>84</v>
      </c>
      <c r="B10" s="148"/>
      <c r="C10" s="148"/>
      <c r="D10" s="148"/>
      <c r="E10" s="148"/>
      <c r="F10" s="149"/>
      <c r="G10" s="156">
        <f>G2-HR</f>
        <v>0</v>
      </c>
      <c r="H10" s="157"/>
      <c r="I10" s="157"/>
      <c r="J10" s="157"/>
      <c r="K10" s="157"/>
      <c r="L10" s="158"/>
      <c r="M10" s="10"/>
      <c r="N10" s="10"/>
      <c r="O10" s="10"/>
      <c r="P10" s="10"/>
      <c r="Q10" s="10"/>
      <c r="R10" s="10"/>
      <c r="S10" s="10"/>
      <c r="T10" s="10"/>
    </row>
    <row r="11" spans="1:20" x14ac:dyDescent="0.25">
      <c r="A11" s="150"/>
      <c r="B11" s="151"/>
      <c r="C11" s="151"/>
      <c r="D11" s="151"/>
      <c r="E11" s="151"/>
      <c r="F11" s="152"/>
      <c r="G11" s="159"/>
      <c r="H11" s="160"/>
      <c r="I11" s="160"/>
      <c r="J11" s="160"/>
      <c r="K11" s="160"/>
      <c r="L11" s="161"/>
      <c r="M11" s="10"/>
      <c r="N11" s="10"/>
      <c r="O11" s="10"/>
      <c r="P11" s="10"/>
      <c r="Q11" s="10"/>
      <c r="R11" s="10"/>
      <c r="S11" s="10"/>
      <c r="T11" s="10"/>
    </row>
    <row r="12" spans="1:20" x14ac:dyDescent="0.25">
      <c r="A12" s="150"/>
      <c r="B12" s="151"/>
      <c r="C12" s="151"/>
      <c r="D12" s="151"/>
      <c r="E12" s="151"/>
      <c r="F12" s="152"/>
      <c r="G12" s="159"/>
      <c r="H12" s="160"/>
      <c r="I12" s="160"/>
      <c r="J12" s="160"/>
      <c r="K12" s="160"/>
      <c r="L12" s="161"/>
      <c r="M12" s="10"/>
      <c r="N12" s="10"/>
      <c r="O12" s="10"/>
      <c r="P12" s="10"/>
      <c r="Q12" s="10"/>
      <c r="R12" s="10"/>
      <c r="S12" s="10"/>
      <c r="T12" s="10"/>
    </row>
    <row r="13" spans="1:20" ht="15.75" thickBot="1" x14ac:dyDescent="0.3">
      <c r="A13" s="153"/>
      <c r="B13" s="154"/>
      <c r="C13" s="154"/>
      <c r="D13" s="154"/>
      <c r="E13" s="154"/>
      <c r="F13" s="155"/>
      <c r="G13" s="162"/>
      <c r="H13" s="163"/>
      <c r="I13" s="163"/>
      <c r="J13" s="163"/>
      <c r="K13" s="163"/>
      <c r="L13" s="164"/>
      <c r="M13" s="10"/>
      <c r="N13" s="10"/>
      <c r="O13" s="10"/>
      <c r="P13" s="10"/>
      <c r="Q13" s="10"/>
      <c r="R13" s="10"/>
      <c r="S13" s="10"/>
      <c r="T13" s="10"/>
    </row>
    <row r="14" spans="1:20" x14ac:dyDescent="0.25">
      <c r="A14" s="89"/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10"/>
      <c r="N14" s="10"/>
      <c r="O14" s="10"/>
      <c r="P14" s="10"/>
      <c r="Q14" s="10"/>
      <c r="R14" s="10"/>
      <c r="S14" s="10"/>
      <c r="T14" s="10"/>
    </row>
    <row r="15" spans="1:20" x14ac:dyDescent="0.25">
      <c r="A15" s="89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10"/>
      <c r="N15" s="10"/>
      <c r="O15" s="10"/>
      <c r="P15" s="10"/>
      <c r="Q15" s="10"/>
      <c r="R15" s="10"/>
      <c r="S15" s="10"/>
      <c r="T15" s="10"/>
    </row>
    <row r="16" spans="1:20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10"/>
      <c r="N16" s="10"/>
      <c r="O16" s="10"/>
      <c r="P16" s="10"/>
      <c r="Q16" s="10"/>
      <c r="R16" s="10"/>
      <c r="S16" s="10"/>
      <c r="T16" s="10"/>
    </row>
    <row r="17" spans="1:20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10"/>
      <c r="N17" s="10"/>
      <c r="O17" s="10"/>
      <c r="P17" s="10"/>
      <c r="Q17" s="10"/>
      <c r="R17" s="10"/>
      <c r="S17" s="10"/>
      <c r="T17" s="10"/>
    </row>
    <row r="18" spans="1:20" x14ac:dyDescent="0.25">
      <c r="A18" s="89"/>
      <c r="B18" s="89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10"/>
      <c r="N18" s="10"/>
      <c r="O18" s="10"/>
      <c r="P18" s="10"/>
      <c r="Q18" s="10"/>
      <c r="R18" s="10"/>
      <c r="S18" s="10"/>
      <c r="T18" s="10"/>
    </row>
    <row r="19" spans="1:20" x14ac:dyDescent="0.25">
      <c r="A19" s="89"/>
      <c r="B19" s="89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10"/>
      <c r="N19" s="10"/>
      <c r="O19" s="10"/>
      <c r="P19" s="10"/>
      <c r="Q19" s="10"/>
      <c r="R19" s="10"/>
      <c r="S19" s="10"/>
      <c r="T19" s="10"/>
    </row>
    <row r="20" spans="1:20" x14ac:dyDescent="0.25">
      <c r="A20" s="89"/>
      <c r="B20" s="89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10"/>
      <c r="N20" s="10"/>
      <c r="O20" s="10"/>
      <c r="P20" s="10"/>
      <c r="Q20" s="10"/>
      <c r="R20" s="10"/>
      <c r="S20" s="10"/>
      <c r="T20" s="10"/>
    </row>
    <row r="21" spans="1:20" x14ac:dyDescent="0.25">
      <c r="A21" s="89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10"/>
      <c r="N21" s="10"/>
      <c r="O21" s="10"/>
      <c r="P21" s="10"/>
      <c r="Q21" s="10"/>
      <c r="R21" s="10"/>
      <c r="S21" s="10"/>
      <c r="T21" s="10"/>
    </row>
    <row r="22" spans="1:20" x14ac:dyDescent="0.25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10"/>
      <c r="N22" s="10"/>
      <c r="O22" s="10"/>
      <c r="P22" s="10"/>
      <c r="Q22" s="10"/>
      <c r="R22" s="10"/>
      <c r="S22" s="10"/>
      <c r="T22" s="10"/>
    </row>
    <row r="23" spans="1:20" x14ac:dyDescent="0.25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10"/>
      <c r="N23" s="10"/>
      <c r="O23" s="10"/>
      <c r="P23" s="10"/>
      <c r="Q23" s="10"/>
      <c r="R23" s="10"/>
      <c r="S23" s="10"/>
      <c r="T23" s="10"/>
    </row>
    <row r="24" spans="1:20" x14ac:dyDescent="0.25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10"/>
      <c r="N24" s="10"/>
      <c r="O24" s="10"/>
      <c r="P24" s="10"/>
      <c r="Q24" s="10"/>
      <c r="R24" s="10"/>
      <c r="S24" s="10"/>
      <c r="T24" s="10"/>
    </row>
    <row r="25" spans="1:20" x14ac:dyDescent="0.25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10"/>
      <c r="N25" s="10"/>
      <c r="O25" s="10"/>
      <c r="P25" s="10"/>
      <c r="Q25" s="10"/>
      <c r="R25" s="10"/>
      <c r="S25" s="10"/>
      <c r="T25" s="10"/>
    </row>
    <row r="26" spans="1:20" x14ac:dyDescent="0.25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10"/>
      <c r="N26" s="10"/>
      <c r="O26" s="10"/>
      <c r="P26" s="10"/>
      <c r="Q26" s="10"/>
      <c r="R26" s="10"/>
      <c r="S26" s="10"/>
      <c r="T26" s="10"/>
    </row>
    <row r="27" spans="1:20" x14ac:dyDescent="0.25">
      <c r="A27" s="89"/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10"/>
      <c r="N27" s="10"/>
      <c r="O27" s="10"/>
      <c r="P27" s="10"/>
      <c r="Q27" s="10"/>
      <c r="R27" s="10"/>
      <c r="S27" s="10"/>
      <c r="T27" s="10"/>
    </row>
    <row r="28" spans="1:20" x14ac:dyDescent="0.25">
      <c r="A28" s="89"/>
      <c r="B28" s="89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10"/>
      <c r="N28" s="10"/>
      <c r="O28" s="10"/>
      <c r="P28" s="10"/>
      <c r="Q28" s="10"/>
      <c r="R28" s="10"/>
      <c r="S28" s="10"/>
      <c r="T28" s="10"/>
    </row>
    <row r="29" spans="1:20" x14ac:dyDescent="0.25">
      <c r="A29" s="89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10"/>
      <c r="N29" s="10"/>
      <c r="O29" s="10"/>
      <c r="P29" s="10"/>
      <c r="Q29" s="10"/>
      <c r="R29" s="10"/>
      <c r="S29" s="10"/>
      <c r="T29" s="10"/>
    </row>
    <row r="30" spans="1:20" x14ac:dyDescent="0.25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10"/>
      <c r="N30" s="10"/>
      <c r="O30" s="10"/>
      <c r="P30" s="10"/>
      <c r="Q30" s="10"/>
      <c r="R30" s="10"/>
      <c r="S30" s="10"/>
      <c r="T30" s="10"/>
    </row>
    <row r="31" spans="1:20" x14ac:dyDescent="0.25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10"/>
      <c r="N31" s="10"/>
      <c r="O31" s="10"/>
      <c r="P31" s="10"/>
      <c r="Q31" s="10"/>
      <c r="R31" s="10"/>
      <c r="S31" s="10"/>
      <c r="T31" s="10"/>
    </row>
    <row r="32" spans="1:20" x14ac:dyDescent="0.25">
      <c r="A32" s="89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10"/>
      <c r="N32" s="10"/>
      <c r="O32" s="10"/>
      <c r="P32" s="10"/>
      <c r="Q32" s="10"/>
      <c r="R32" s="10"/>
      <c r="S32" s="10"/>
      <c r="T32" s="10"/>
    </row>
    <row r="33" spans="1:20" x14ac:dyDescent="0.25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10"/>
      <c r="N33" s="10"/>
      <c r="O33" s="10"/>
      <c r="P33" s="10"/>
      <c r="Q33" s="10"/>
      <c r="R33" s="10"/>
      <c r="S33" s="10"/>
      <c r="T33" s="10"/>
    </row>
    <row r="34" spans="1:20" x14ac:dyDescent="0.25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10"/>
      <c r="N34" s="10"/>
      <c r="O34" s="10"/>
      <c r="P34" s="10"/>
      <c r="Q34" s="10"/>
      <c r="R34" s="10"/>
      <c r="S34" s="10"/>
      <c r="T34" s="10"/>
    </row>
    <row r="35" spans="1:20" x14ac:dyDescent="0.25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10"/>
      <c r="N35" s="10"/>
      <c r="O35" s="10"/>
      <c r="P35" s="10"/>
      <c r="Q35" s="10"/>
      <c r="R35" s="10"/>
      <c r="S35" s="10"/>
      <c r="T35" s="10"/>
    </row>
    <row r="36" spans="1:20" x14ac:dyDescent="0.25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10"/>
      <c r="N36" s="10"/>
      <c r="O36" s="10"/>
      <c r="P36" s="10"/>
      <c r="Q36" s="10"/>
      <c r="R36" s="10"/>
      <c r="S36" s="10"/>
      <c r="T36" s="10"/>
    </row>
    <row r="37" spans="1:20" x14ac:dyDescent="0.25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10"/>
      <c r="N37" s="10"/>
      <c r="O37" s="10"/>
      <c r="P37" s="10"/>
      <c r="Q37" s="10"/>
      <c r="R37" s="10"/>
      <c r="S37" s="10"/>
      <c r="T37" s="10"/>
    </row>
    <row r="38" spans="1:20" x14ac:dyDescent="0.25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10"/>
      <c r="N38" s="10"/>
      <c r="O38" s="10"/>
      <c r="P38" s="10"/>
      <c r="Q38" s="10"/>
      <c r="R38" s="10"/>
      <c r="S38" s="10"/>
      <c r="T38" s="10"/>
    </row>
    <row r="39" spans="1:20" x14ac:dyDescent="0.25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10"/>
      <c r="N39" s="10"/>
      <c r="O39" s="10"/>
      <c r="P39" s="10"/>
      <c r="Q39" s="10"/>
      <c r="R39" s="10"/>
      <c r="S39" s="10"/>
      <c r="T39" s="10"/>
    </row>
    <row r="40" spans="1:20" x14ac:dyDescent="0.25">
      <c r="A40" s="90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10"/>
      <c r="N40" s="10"/>
      <c r="O40" s="10"/>
      <c r="P40" s="10"/>
      <c r="Q40" s="10"/>
      <c r="R40" s="10"/>
      <c r="S40" s="10"/>
      <c r="T40" s="10"/>
    </row>
    <row r="41" spans="1:20" x14ac:dyDescent="0.25">
      <c r="A41" s="90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10"/>
      <c r="N41" s="10"/>
      <c r="O41" s="10"/>
      <c r="P41" s="10"/>
      <c r="Q41" s="10"/>
      <c r="R41" s="10"/>
      <c r="S41" s="10"/>
      <c r="T41" s="10"/>
    </row>
  </sheetData>
  <sheetProtection selectLockedCells="1"/>
  <mergeCells count="7">
    <mergeCell ref="A10:F13"/>
    <mergeCell ref="G10:L13"/>
    <mergeCell ref="A1:L1"/>
    <mergeCell ref="A2:F5"/>
    <mergeCell ref="G2:L5"/>
    <mergeCell ref="A6:F9"/>
    <mergeCell ref="G6:L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topLeftCell="B2" zoomScaleNormal="100" workbookViewId="0">
      <selection activeCell="J2" sqref="J2:T4"/>
    </sheetView>
  </sheetViews>
  <sheetFormatPr baseColWidth="10" defaultRowHeight="15" x14ac:dyDescent="0.25"/>
  <sheetData>
    <row r="1" spans="1:20" ht="15.75" thickBot="1" x14ac:dyDescent="0.3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</row>
    <row r="2" spans="1:20" x14ac:dyDescent="0.25">
      <c r="A2" s="165"/>
      <c r="B2" s="183" t="s">
        <v>48</v>
      </c>
      <c r="C2" s="166"/>
      <c r="D2" s="166"/>
      <c r="E2" s="166"/>
      <c r="F2" s="166"/>
      <c r="G2" s="166"/>
      <c r="H2" s="166"/>
      <c r="I2" s="167"/>
      <c r="J2" s="183">
        <v>0</v>
      </c>
      <c r="K2" s="184"/>
      <c r="L2" s="184"/>
      <c r="M2" s="184"/>
      <c r="N2" s="184"/>
      <c r="O2" s="184"/>
      <c r="P2" s="184"/>
      <c r="Q2" s="184"/>
      <c r="R2" s="184"/>
      <c r="S2" s="184"/>
      <c r="T2" s="185"/>
    </row>
    <row r="3" spans="1:20" x14ac:dyDescent="0.25">
      <c r="A3" s="165"/>
      <c r="B3" s="168"/>
      <c r="C3" s="169"/>
      <c r="D3" s="169"/>
      <c r="E3" s="169"/>
      <c r="F3" s="169"/>
      <c r="G3" s="169"/>
      <c r="H3" s="169"/>
      <c r="I3" s="170"/>
      <c r="J3" s="186"/>
      <c r="K3" s="187"/>
      <c r="L3" s="187"/>
      <c r="M3" s="187"/>
      <c r="N3" s="187"/>
      <c r="O3" s="187"/>
      <c r="P3" s="187"/>
      <c r="Q3" s="187"/>
      <c r="R3" s="187"/>
      <c r="S3" s="187"/>
      <c r="T3" s="188"/>
    </row>
    <row r="4" spans="1:20" ht="15.75" thickBot="1" x14ac:dyDescent="0.3">
      <c r="A4" s="165"/>
      <c r="B4" s="171"/>
      <c r="C4" s="172"/>
      <c r="D4" s="172"/>
      <c r="E4" s="172"/>
      <c r="F4" s="172"/>
      <c r="G4" s="172"/>
      <c r="H4" s="172"/>
      <c r="I4" s="173"/>
      <c r="J4" s="189"/>
      <c r="K4" s="190"/>
      <c r="L4" s="190"/>
      <c r="M4" s="190"/>
      <c r="N4" s="190"/>
      <c r="O4" s="190"/>
      <c r="P4" s="190"/>
      <c r="Q4" s="190"/>
      <c r="R4" s="190"/>
      <c r="S4" s="190"/>
      <c r="T4" s="191"/>
    </row>
    <row r="5" spans="1:20" x14ac:dyDescent="0.25">
      <c r="A5" s="165"/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5"/>
      <c r="T5" s="165"/>
    </row>
    <row r="6" spans="1:20" x14ac:dyDescent="0.25">
      <c r="A6" s="165"/>
      <c r="B6" s="165"/>
      <c r="C6" s="165"/>
      <c r="D6" s="165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5"/>
      <c r="T6" s="165"/>
    </row>
    <row r="7" spans="1:20" x14ac:dyDescent="0.25">
      <c r="A7" s="165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65"/>
      <c r="P7" s="165"/>
      <c r="Q7" s="165"/>
      <c r="R7" s="165"/>
      <c r="S7" s="165"/>
      <c r="T7" s="165"/>
    </row>
    <row r="8" spans="1:20" x14ac:dyDescent="0.25">
      <c r="A8" s="165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5"/>
      <c r="T8" s="165"/>
    </row>
    <row r="9" spans="1:20" x14ac:dyDescent="0.25">
      <c r="A9" s="165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165"/>
      <c r="M9" s="165"/>
      <c r="N9" s="165"/>
      <c r="O9" s="165"/>
      <c r="P9" s="165"/>
      <c r="Q9" s="165"/>
      <c r="R9" s="165"/>
      <c r="S9" s="165"/>
      <c r="T9" s="165"/>
    </row>
    <row r="10" spans="1:20" x14ac:dyDescent="0.25">
      <c r="A10" s="165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65"/>
      <c r="N10" s="165"/>
      <c r="O10" s="165"/>
      <c r="P10" s="165"/>
      <c r="Q10" s="165"/>
      <c r="R10" s="165"/>
      <c r="S10" s="165"/>
      <c r="T10" s="165"/>
    </row>
    <row r="11" spans="1:20" x14ac:dyDescent="0.25">
      <c r="A11" s="165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</row>
    <row r="12" spans="1:20" x14ac:dyDescent="0.25">
      <c r="A12" s="165"/>
      <c r="B12" s="165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65"/>
      <c r="N12" s="165"/>
      <c r="O12" s="165"/>
      <c r="P12" s="165"/>
      <c r="Q12" s="165"/>
      <c r="R12" s="165"/>
      <c r="S12" s="165"/>
      <c r="T12" s="165"/>
    </row>
    <row r="13" spans="1:20" x14ac:dyDescent="0.25">
      <c r="A13" s="165"/>
      <c r="B13" s="165"/>
      <c r="C13" s="165"/>
      <c r="D13" s="165"/>
      <c r="E13" s="165"/>
      <c r="F13" s="165"/>
      <c r="G13" s="165"/>
      <c r="H13" s="165"/>
      <c r="I13" s="165"/>
      <c r="J13" s="165"/>
      <c r="K13" s="165"/>
      <c r="L13" s="165"/>
      <c r="M13" s="165"/>
      <c r="N13" s="165"/>
      <c r="O13" s="165"/>
      <c r="P13" s="165"/>
      <c r="Q13" s="165"/>
      <c r="R13" s="165"/>
      <c r="S13" s="165"/>
      <c r="T13" s="165"/>
    </row>
    <row r="14" spans="1:20" x14ac:dyDescent="0.25">
      <c r="A14" s="165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5"/>
      <c r="N14" s="165"/>
      <c r="O14" s="165"/>
      <c r="P14" s="165"/>
      <c r="Q14" s="165"/>
      <c r="R14" s="165"/>
      <c r="S14" s="165"/>
      <c r="T14" s="165"/>
    </row>
    <row r="15" spans="1:20" x14ac:dyDescent="0.25">
      <c r="A15" s="165"/>
      <c r="B15" s="165"/>
      <c r="C15" s="165"/>
      <c r="D15" s="165"/>
      <c r="E15" s="165"/>
      <c r="F15" s="165"/>
      <c r="G15" s="165"/>
      <c r="H15" s="165"/>
      <c r="I15" s="165"/>
      <c r="J15" s="165"/>
      <c r="K15" s="165"/>
      <c r="L15" s="165"/>
      <c r="M15" s="165"/>
      <c r="N15" s="165"/>
      <c r="O15" s="165"/>
      <c r="P15" s="165"/>
      <c r="Q15" s="165"/>
      <c r="R15" s="165"/>
      <c r="S15" s="165"/>
      <c r="T15" s="165"/>
    </row>
    <row r="16" spans="1:20" x14ac:dyDescent="0.25">
      <c r="A16" s="165"/>
      <c r="B16" s="165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65"/>
      <c r="N16" s="165"/>
      <c r="O16" s="165"/>
      <c r="P16" s="165"/>
      <c r="Q16" s="165"/>
      <c r="R16" s="165"/>
      <c r="S16" s="165"/>
      <c r="T16" s="165"/>
    </row>
    <row r="17" spans="1:20" x14ac:dyDescent="0.25">
      <c r="A17" s="165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5"/>
      <c r="O17" s="165"/>
      <c r="P17" s="165"/>
      <c r="Q17" s="165"/>
      <c r="R17" s="165"/>
      <c r="S17" s="165"/>
      <c r="T17" s="165"/>
    </row>
    <row r="18" spans="1:20" x14ac:dyDescent="0.25">
      <c r="A18" s="165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</row>
    <row r="19" spans="1:20" x14ac:dyDescent="0.25">
      <c r="A19" s="165"/>
      <c r="B19" s="165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5"/>
      <c r="T19" s="165"/>
    </row>
    <row r="20" spans="1:20" x14ac:dyDescent="0.25">
      <c r="A20" s="165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5"/>
      <c r="T20" s="165"/>
    </row>
    <row r="21" spans="1:20" x14ac:dyDescent="0.25">
      <c r="A21" s="165"/>
      <c r="B21" s="165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5"/>
      <c r="T21" s="165"/>
    </row>
    <row r="22" spans="1:20" x14ac:dyDescent="0.25">
      <c r="A22" s="165"/>
      <c r="B22" s="165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65"/>
      <c r="P22" s="165"/>
      <c r="Q22" s="165"/>
      <c r="R22" s="165"/>
      <c r="S22" s="165"/>
      <c r="T22" s="165"/>
    </row>
    <row r="23" spans="1:20" x14ac:dyDescent="0.25">
      <c r="A23" s="165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5"/>
      <c r="O23" s="165"/>
      <c r="P23" s="165"/>
      <c r="Q23" s="165"/>
      <c r="R23" s="165"/>
      <c r="S23" s="165"/>
      <c r="T23" s="165"/>
    </row>
    <row r="24" spans="1:20" x14ac:dyDescent="0.25">
      <c r="A24" s="165"/>
      <c r="B24" s="165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5"/>
      <c r="T24" s="165"/>
    </row>
    <row r="25" spans="1:20" x14ac:dyDescent="0.25">
      <c r="A25" s="165"/>
      <c r="B25" s="165"/>
      <c r="C25" s="165"/>
      <c r="D25" s="165"/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5"/>
      <c r="T25" s="165"/>
    </row>
    <row r="26" spans="1:20" x14ac:dyDescent="0.25">
      <c r="A26" s="165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5"/>
      <c r="T26" s="165"/>
    </row>
    <row r="27" spans="1:20" x14ac:dyDescent="0.25">
      <c r="A27" s="165"/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</row>
    <row r="28" spans="1:20" x14ac:dyDescent="0.25">
      <c r="A28" s="165"/>
      <c r="B28" s="165"/>
      <c r="C28" s="165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</row>
    <row r="29" spans="1:20" x14ac:dyDescent="0.25">
      <c r="A29" s="165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</row>
    <row r="30" spans="1:20" x14ac:dyDescent="0.25">
      <c r="A30" s="165"/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5"/>
      <c r="T30" s="165"/>
    </row>
    <row r="31" spans="1:20" x14ac:dyDescent="0.25">
      <c r="A31" s="165"/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</row>
    <row r="32" spans="1:20" x14ac:dyDescent="0.25">
      <c r="A32" s="165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5"/>
      <c r="T32" s="165"/>
    </row>
    <row r="33" spans="1:20" x14ac:dyDescent="0.25">
      <c r="A33" s="165"/>
      <c r="B33" s="165"/>
      <c r="C33" s="165"/>
      <c r="D33" s="165"/>
      <c r="E33" s="165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5"/>
      <c r="S33" s="165"/>
      <c r="T33" s="165"/>
    </row>
    <row r="34" spans="1:20" x14ac:dyDescent="0.25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5"/>
      <c r="S34" s="165"/>
      <c r="T34" s="165"/>
    </row>
    <row r="35" spans="1:20" x14ac:dyDescent="0.25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</row>
    <row r="36" spans="1:20" x14ac:dyDescent="0.25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65"/>
      <c r="P36" s="165"/>
      <c r="Q36" s="165"/>
      <c r="R36" s="165"/>
      <c r="S36" s="165"/>
      <c r="T36" s="165"/>
    </row>
    <row r="37" spans="1:20" x14ac:dyDescent="0.25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</row>
  </sheetData>
  <sheetProtection selectLockedCells="1" selectUnlockedCells="1"/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G30"/>
  <sheetViews>
    <sheetView topLeftCell="A2" workbookViewId="0">
      <selection activeCell="D13" sqref="D13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25" t="s">
        <v>22</v>
      </c>
      <c r="B1" s="24">
        <v>2016</v>
      </c>
      <c r="C1" t="b">
        <v>0</v>
      </c>
    </row>
    <row r="2" spans="1:7" x14ac:dyDescent="0.25">
      <c r="A2" s="15" t="str">
        <f>"Noël "&amp;B1-1</f>
        <v>Noël 2015</v>
      </c>
      <c r="B2" s="14">
        <f>DATE($B$1-1,12,25)</f>
        <v>42363</v>
      </c>
      <c r="D2" s="23" t="s">
        <v>21</v>
      </c>
    </row>
    <row r="3" spans="1:7" x14ac:dyDescent="0.25">
      <c r="A3" s="17" t="s">
        <v>20</v>
      </c>
      <c r="B3" s="16">
        <f>DATE($B$1,1,1)</f>
        <v>42370</v>
      </c>
    </row>
    <row r="4" spans="1:7" x14ac:dyDescent="0.25">
      <c r="A4" s="17" t="s">
        <v>19</v>
      </c>
      <c r="B4" s="16">
        <f>DATE($B$1,3,29.56+0.979*MOD(204-11*MOD($B$1,19),30)- WEEKDAY(DATE($B$1,3,28.56+0.979*MOD(204-11*MOD($B$1,19),30))))+1</f>
        <v>42457</v>
      </c>
      <c r="C4" s="22" t="str">
        <f>"Fériés en "&amp;$B$1</f>
        <v>Fériés en 2016</v>
      </c>
      <c r="D4" s="7">
        <f>COUNT(Fériés)-2-C1</f>
        <v>11</v>
      </c>
    </row>
    <row r="5" spans="1:7" x14ac:dyDescent="0.25">
      <c r="A5" s="17" t="s">
        <v>18</v>
      </c>
      <c r="B5" s="16">
        <f>DATE($B$1,5,1)</f>
        <v>42491</v>
      </c>
      <c r="C5" s="22" t="str">
        <f>"Fériés jours ouvrés en "&amp;B1</f>
        <v>Fériés jours ouvrés en 2016</v>
      </c>
      <c r="D5" s="7">
        <f>SUMPRODUCT((WEEKDAY((B3:B13),2)&lt;6)*1)+SUMPRODUCT((WEEKDAY((B15:B30),2)&lt;6)*1)</f>
        <v>8</v>
      </c>
    </row>
    <row r="6" spans="1:7" x14ac:dyDescent="0.25">
      <c r="A6" s="17" t="s">
        <v>17</v>
      </c>
      <c r="B6" s="16">
        <f>DATE($B$1,5,8)</f>
        <v>42498</v>
      </c>
    </row>
    <row r="7" spans="1:7" x14ac:dyDescent="0.25">
      <c r="A7" s="17" t="s">
        <v>16</v>
      </c>
      <c r="B7" s="16">
        <f>$B$4+38</f>
        <v>42495</v>
      </c>
    </row>
    <row r="8" spans="1:7" x14ac:dyDescent="0.25">
      <c r="A8" s="21" t="s">
        <v>15</v>
      </c>
      <c r="B8" s="20">
        <f>IF($C$1,,$B$4+49)</f>
        <v>42506</v>
      </c>
    </row>
    <row r="9" spans="1:7" x14ac:dyDescent="0.25">
      <c r="A9" s="19" t="s">
        <v>14</v>
      </c>
      <c r="B9" s="16">
        <f>DATE($B$1,7,14)</f>
        <v>42565</v>
      </c>
    </row>
    <row r="10" spans="1:7" x14ac:dyDescent="0.25">
      <c r="A10" s="17" t="s">
        <v>13</v>
      </c>
      <c r="B10" s="16">
        <f>DATE($B$1,8,15)</f>
        <v>42597</v>
      </c>
      <c r="D10" s="18" t="s">
        <v>12</v>
      </c>
    </row>
    <row r="11" spans="1:7" x14ac:dyDescent="0.25">
      <c r="A11" s="17" t="s">
        <v>11</v>
      </c>
      <c r="B11" s="16">
        <f>DATE($B$1,11,1)</f>
        <v>42675</v>
      </c>
    </row>
    <row r="12" spans="1:7" x14ac:dyDescent="0.25">
      <c r="A12" s="17" t="s">
        <v>10</v>
      </c>
      <c r="B12" s="16">
        <f>DATE($B$1,11,11)</f>
        <v>42685</v>
      </c>
      <c r="C12" s="10"/>
      <c r="D12" s="11" t="s">
        <v>9</v>
      </c>
      <c r="E12" s="10"/>
      <c r="F12" s="10"/>
      <c r="G12" s="10"/>
    </row>
    <row r="13" spans="1:7" x14ac:dyDescent="0.25">
      <c r="A13" s="17" t="s">
        <v>8</v>
      </c>
      <c r="B13" s="16">
        <f>DATE($B$1,12,25)</f>
        <v>42729</v>
      </c>
      <c r="C13" s="6" t="s">
        <v>3</v>
      </c>
      <c r="D13" s="9">
        <f ca="1">DATE(YEAR(TODAY()),MONTH(TODAY()),1)</f>
        <v>42522</v>
      </c>
    </row>
    <row r="14" spans="1:7" x14ac:dyDescent="0.25">
      <c r="A14" s="15" t="str">
        <f>"Jour de l'an " &amp; B1+1</f>
        <v>Jour de l'an 2017</v>
      </c>
      <c r="B14" s="14">
        <f>DATE($B$1+1,1,1)</f>
        <v>42736</v>
      </c>
      <c r="C14" s="6" t="s">
        <v>1</v>
      </c>
      <c r="D14" s="9">
        <f ca="1">DATE(YEAR(TODAY()),MONTH(TODAY())+1,1)-1</f>
        <v>42551</v>
      </c>
    </row>
    <row r="15" spans="1:7" x14ac:dyDescent="0.25">
      <c r="A15" s="2" t="s">
        <v>7</v>
      </c>
      <c r="B15" s="3"/>
      <c r="C15" s="8" t="s">
        <v>2</v>
      </c>
      <c r="D15" s="13">
        <f ca="1">NETWORKDAYS(D13,D14,Fériés)</f>
        <v>22</v>
      </c>
      <c r="E15" s="4" t="s">
        <v>6</v>
      </c>
    </row>
    <row r="16" spans="1:7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42528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42542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F15"/>
  <sheetViews>
    <sheetView workbookViewId="0">
      <selection activeCell="A3" sqref="A3"/>
    </sheetView>
  </sheetViews>
  <sheetFormatPr baseColWidth="10" defaultColWidth="11.42578125" defaultRowHeight="16.5" x14ac:dyDescent="0.3"/>
  <cols>
    <col min="1" max="1" width="27.42578125" style="45" bestFit="1" customWidth="1"/>
    <col min="2" max="2" width="14.140625" style="46" bestFit="1" customWidth="1"/>
    <col min="3" max="16384" width="11.42578125" style="45"/>
  </cols>
  <sheetData>
    <row r="1" spans="1:6" x14ac:dyDescent="0.3">
      <c r="A1" s="48" t="s">
        <v>76</v>
      </c>
      <c r="B1" s="48" t="s">
        <v>75</v>
      </c>
      <c r="E1" s="49"/>
      <c r="F1" s="49"/>
    </row>
    <row r="2" spans="1:6" ht="20.100000000000001" customHeight="1" x14ac:dyDescent="0.3">
      <c r="A2" s="50"/>
      <c r="B2" s="47"/>
      <c r="E2" s="49"/>
      <c r="F2" s="49"/>
    </row>
    <row r="3" spans="1:6" ht="20.100000000000001" customHeight="1" x14ac:dyDescent="0.3">
      <c r="A3" s="50" t="s">
        <v>78</v>
      </c>
      <c r="B3" s="47" t="s">
        <v>79</v>
      </c>
      <c r="E3" s="49"/>
      <c r="F3" s="49"/>
    </row>
    <row r="4" spans="1:6" ht="20.100000000000001" customHeight="1" x14ac:dyDescent="0.3">
      <c r="A4" s="50" t="s">
        <v>67</v>
      </c>
      <c r="B4" s="47" t="s">
        <v>66</v>
      </c>
      <c r="E4" s="49"/>
      <c r="F4" s="49"/>
    </row>
    <row r="5" spans="1:6" ht="21.75" customHeight="1" x14ac:dyDescent="0.3">
      <c r="A5" s="51" t="s">
        <v>77</v>
      </c>
      <c r="B5" s="47" t="s">
        <v>65</v>
      </c>
      <c r="E5" s="49"/>
      <c r="F5" s="49"/>
    </row>
    <row r="6" spans="1:6" ht="20.100000000000001" customHeight="1" x14ac:dyDescent="0.3">
      <c r="A6" s="50" t="s">
        <v>69</v>
      </c>
      <c r="B6" s="47" t="s">
        <v>68</v>
      </c>
      <c r="E6" s="49"/>
      <c r="F6" s="49"/>
    </row>
    <row r="7" spans="1:6" ht="20.100000000000001" customHeight="1" x14ac:dyDescent="0.3">
      <c r="A7" s="50" t="s">
        <v>57</v>
      </c>
      <c r="B7" s="47" t="s">
        <v>56</v>
      </c>
      <c r="E7" s="49"/>
      <c r="F7" s="49"/>
    </row>
    <row r="8" spans="1:6" ht="20.100000000000001" customHeight="1" x14ac:dyDescent="0.3">
      <c r="A8" s="50" t="s">
        <v>82</v>
      </c>
      <c r="B8" s="47" t="s">
        <v>74</v>
      </c>
      <c r="E8" s="49"/>
      <c r="F8" s="49"/>
    </row>
    <row r="9" spans="1:6" ht="20.100000000000001" customHeight="1" x14ac:dyDescent="0.3">
      <c r="A9" s="50" t="s">
        <v>73</v>
      </c>
      <c r="B9" s="47" t="s">
        <v>72</v>
      </c>
      <c r="E9" s="49"/>
      <c r="F9" s="49"/>
    </row>
    <row r="10" spans="1:6" ht="20.100000000000001" customHeight="1" x14ac:dyDescent="0.3">
      <c r="A10" s="50" t="s">
        <v>71</v>
      </c>
      <c r="B10" s="47" t="s">
        <v>70</v>
      </c>
      <c r="E10" s="49"/>
      <c r="F10" s="49"/>
    </row>
    <row r="11" spans="1:6" ht="20.100000000000001" customHeight="1" x14ac:dyDescent="0.3">
      <c r="A11" s="50" t="s">
        <v>83</v>
      </c>
      <c r="B11" s="47" t="s">
        <v>62</v>
      </c>
      <c r="E11" s="49"/>
      <c r="F11" s="49"/>
    </row>
    <row r="12" spans="1:6" s="83" customFormat="1" x14ac:dyDescent="0.3">
      <c r="A12" s="81" t="s">
        <v>55</v>
      </c>
      <c r="B12" s="82"/>
    </row>
    <row r="13" spans="1:6" ht="20.100000000000001" customHeight="1" x14ac:dyDescent="0.3">
      <c r="A13" s="50" t="s">
        <v>61</v>
      </c>
      <c r="B13" s="47" t="s">
        <v>60</v>
      </c>
      <c r="E13" s="49"/>
      <c r="F13" s="49"/>
    </row>
    <row r="14" spans="1:6" ht="20.100000000000001" customHeight="1" x14ac:dyDescent="0.3">
      <c r="A14" s="50" t="s">
        <v>59</v>
      </c>
      <c r="B14" s="47" t="s">
        <v>58</v>
      </c>
      <c r="E14" s="49"/>
      <c r="F14" s="49"/>
    </row>
    <row r="15" spans="1:6" ht="20.100000000000001" customHeight="1" x14ac:dyDescent="0.3">
      <c r="A15" s="50" t="s">
        <v>64</v>
      </c>
      <c r="B15" s="47" t="s">
        <v>63</v>
      </c>
      <c r="E15" s="49"/>
      <c r="F15" s="49"/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Horaires</vt:lpstr>
      <vt:lpstr>Solde heures</vt:lpstr>
      <vt:lpstr>Absences</vt:lpstr>
      <vt:lpstr>ouvrés</vt:lpstr>
      <vt:lpstr>LEGENDES ABSENCES</vt:lpstr>
      <vt:lpstr>ABS</vt:lpstr>
      <vt:lpstr>choixheures</vt:lpstr>
      <vt:lpstr>choixmois</vt:lpstr>
      <vt:lpstr>cola</vt:lpstr>
      <vt:lpstr>cola2</vt:lpstr>
      <vt:lpstr>FERIE</vt:lpstr>
      <vt:lpstr>ouvrés!Fériés</vt:lpstr>
      <vt:lpstr>HR</vt:lpstr>
      <vt:lpstr>HSUP</vt:lpstr>
      <vt:lpstr>jf</vt:lpstr>
      <vt:lpstr>Nombre_de_jours_ouvrés</vt:lpstr>
      <vt:lpstr>RECUP</vt:lpstr>
      <vt:lpstr>solde</vt:lpstr>
      <vt:lpstr>Horaires!Zone_d_impression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cp:lastPrinted>2016-06-04T16:18:41Z</cp:lastPrinted>
  <dcterms:created xsi:type="dcterms:W3CDTF">2016-05-28T17:18:28Z</dcterms:created>
  <dcterms:modified xsi:type="dcterms:W3CDTF">2016-06-07T20:14:26Z</dcterms:modified>
</cp:coreProperties>
</file>