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L:\JORDAN-MONS\COMPTA\COMPTA-EXERC-MONS\"/>
    </mc:Choice>
  </mc:AlternateContent>
  <bookViews>
    <workbookView xWindow="-12" yWindow="0" windowWidth="19020" windowHeight="7548" tabRatio="827" activeTab="3"/>
  </bookViews>
  <sheets>
    <sheet name="Feuil4" sheetId="40" r:id="rId1"/>
    <sheet name="VAL-INIT" sheetId="34" r:id="rId2"/>
    <sheet name="Val-Dép" sheetId="35" r:id="rId3"/>
    <sheet name="CLIENTS(400-290)" sheetId="42" r:id="rId4"/>
    <sheet name="BILAN AC-PA" sheetId="22" r:id="rId5"/>
    <sheet name="Liv-Four-client" sheetId="13" r:id="rId6"/>
    <sheet name="BIL-SIMPLE" sheetId="33" r:id="rId7"/>
    <sheet name="Gr liv ACT-PAS" sheetId="10" r:id="rId8"/>
    <sheet name="LIVRE-JOURNAL" sheetId="43" r:id="rId9"/>
    <sheet name="Bal des comptes" sheetId="21" r:id="rId10"/>
    <sheet name="Bal.client-four" sheetId="16" r:id="rId11"/>
    <sheet name="Jour. Achats-ventes " sheetId="37" r:id="rId12"/>
    <sheet name="Journ- Finan-Banq" sheetId="23" r:id="rId13"/>
    <sheet name="Journ- CENTRAL" sheetId="32" r:id="rId14"/>
    <sheet name="BANQ-POST-CAIISE" sheetId="29" r:id="rId15"/>
    <sheet name="Feuil2" sheetId="11" r:id="rId16"/>
    <sheet name="LIV-ENTREE" sheetId="3" r:id="rId17"/>
    <sheet name="LIV-SORTIE" sheetId="6" r:id="rId18"/>
    <sheet name="TVA-625" sheetId="7" r:id="rId19"/>
    <sheet name="PCMN" sheetId="39" r:id="rId20"/>
    <sheet name="PCMN1" sheetId="17" r:id="rId21"/>
    <sheet name="Comp Résultat" sheetId="19" r:id="rId22"/>
    <sheet name="Feuil3" sheetId="27" r:id="rId23"/>
  </sheets>
  <externalReferences>
    <externalReference r:id="rId24"/>
    <externalReference r:id="rId25"/>
    <externalReference r:id="rId26"/>
    <externalReference r:id="rId27"/>
    <externalReference r:id="rId28"/>
  </externalReferences>
  <definedNames>
    <definedName name="appelation">Feuil2!$E$2:$E$23</definedName>
    <definedName name="appelation2">Feuil2!$F$2:$F$19</definedName>
    <definedName name="AVANCETVA">Feuil2!$F$2:$F$10</definedName>
    <definedName name="Banque">Feuil2!$I$2:$I$22</definedName>
    <definedName name="BQCLIENTS">'Val-Dép'!$AA$13:$AF$26</definedName>
    <definedName name="BQFOURNISSEURS">'Val-Dép'!$AH$35:$AM$46</definedName>
    <definedName name="Caisse">'Val-Dép'!$H$35</definedName>
    <definedName name="CLASSEFOURNISSEUR" localSheetId="15">Feuil2!$I$2:$I$22</definedName>
    <definedName name="CLIENTS">'Val-Dép'!$B$13:$AF$26</definedName>
    <definedName name="dénomination">Feuil2!$B$2:$B$19</definedName>
    <definedName name="FOURNISSEURS">'Val-Dép'!$B$35:$AF$46</definedName>
    <definedName name="LIV.ENT.">Feuil2!$G$2:$G$13</definedName>
    <definedName name="Modepaie">Feuil2!$I$5:$I$20</definedName>
    <definedName name="PAIEFOURNISS.">'Val-Dép'!$H$35</definedName>
    <definedName name="PAIEFOURNISSEUR">Feuil2!$I$2:$I$22</definedName>
    <definedName name="paiement">Feuil2!$I$3:$I$20</definedName>
    <definedName name="paiementnouv">Feuil2!$I$2:$I$20</definedName>
    <definedName name="payefournisseur" localSheetId="2">Feuil2!$I$2:$I$22</definedName>
    <definedName name="payer">Feuil2!$I$2:$I$20</definedName>
    <definedName name="Plan1" localSheetId="10">PCMN1!$A$1:$A$261</definedName>
    <definedName name="Plan1" localSheetId="21">PCMN1!$A$1:$A$261</definedName>
    <definedName name="Plan1" localSheetId="20">PCMN1!$A$1:$A$261</definedName>
    <definedName name="Plan10">PCMN!$A$1:$A$14</definedName>
    <definedName name="Plan2" localSheetId="10">PCMN1!$A$1:$G$1</definedName>
    <definedName name="Plan2" localSheetId="21">PCMN1!$A$1:$G$1</definedName>
    <definedName name="Plan2" localSheetId="20">PCMN1!$A$1:$G$1</definedName>
    <definedName name="Plan20">PCMN!$A$1:$G$1</definedName>
    <definedName name="solver_cvg" localSheetId="12" hidden="1">0.0001</definedName>
    <definedName name="solver_drv" localSheetId="12" hidden="1">1</definedName>
    <definedName name="solver_est" localSheetId="12" hidden="1">1</definedName>
    <definedName name="solver_itr" localSheetId="12" hidden="1">100</definedName>
    <definedName name="solver_lin" localSheetId="12" hidden="1">2</definedName>
    <definedName name="solver_neg" localSheetId="12" hidden="1">2</definedName>
    <definedName name="solver_num" localSheetId="12" hidden="1">0</definedName>
    <definedName name="solver_nwt" localSheetId="12" hidden="1">1</definedName>
    <definedName name="solver_opt" localSheetId="12" hidden="1">'Journ- Finan-Banq'!$K$110</definedName>
    <definedName name="solver_pre" localSheetId="12" hidden="1">0.000001</definedName>
    <definedName name="solver_scl" localSheetId="12" hidden="1">2</definedName>
    <definedName name="solver_sho" localSheetId="12" hidden="1">2</definedName>
    <definedName name="solver_tim" localSheetId="12" hidden="1">100</definedName>
    <definedName name="solver_tol" localSheetId="12" hidden="1">0.05</definedName>
    <definedName name="solver_typ" localSheetId="12" hidden="1">3</definedName>
    <definedName name="solver_val" localSheetId="12" hidden="1">0</definedName>
    <definedName name="TRANSFERT">Feuil2!$K$1:$K$30</definedName>
    <definedName name="TransfertBQ">Feuil2!$M$2:$M$7</definedName>
    <definedName name="TransfertCAISSE">Feuil2!$O$2:$O$7</definedName>
    <definedName name="TransfertCREDIT">Feuil2!$P$2:$P$7</definedName>
    <definedName name="TransfertPOSTE">Feuil2!$N$2:$N$7</definedName>
    <definedName name="TransfertREMBOURSE">Feuil2!$P$2:$P$7</definedName>
    <definedName name="TRANSFERTVERS">Feuil2!$K$1:$L$25</definedName>
    <definedName name="TVA">Feuil2!$C$2:$C$9</definedName>
    <definedName name="TVAréduit">Feuil2!$D$2:$D$13</definedName>
    <definedName name="vide">Feuil2!$H$2:$H$21</definedName>
  </definedNames>
  <calcPr calcId="162913"/>
  <fileRecoveryPr autoRecover="0"/>
</workbook>
</file>

<file path=xl/calcChain.xml><?xml version="1.0" encoding="utf-8"?>
<calcChain xmlns="http://schemas.openxmlformats.org/spreadsheetml/2006/main">
  <c r="C58" i="10" l="1"/>
  <c r="Q51" i="10"/>
  <c r="C128" i="42"/>
  <c r="C129" i="42"/>
  <c r="C130" i="42"/>
  <c r="C131" i="42"/>
  <c r="C132" i="42"/>
  <c r="C133" i="42"/>
  <c r="C134" i="42"/>
  <c r="C135" i="42"/>
  <c r="C136" i="42"/>
  <c r="C137" i="42"/>
  <c r="H140" i="42"/>
  <c r="M141" i="42"/>
  <c r="N139" i="42"/>
  <c r="N140" i="42"/>
  <c r="N141" i="42"/>
  <c r="N142" i="42"/>
  <c r="M139" i="42"/>
  <c r="M140" i="42"/>
  <c r="M142" i="42"/>
  <c r="I139" i="42"/>
  <c r="I140" i="42"/>
  <c r="I141" i="42"/>
  <c r="I142" i="42"/>
  <c r="H139" i="42"/>
  <c r="H141" i="42"/>
  <c r="H142" i="42"/>
  <c r="H138" i="42"/>
  <c r="D137" i="42"/>
  <c r="C126" i="42"/>
  <c r="C127" i="42"/>
  <c r="N138" i="42" l="1"/>
  <c r="I138" i="42"/>
  <c r="M138" i="42"/>
  <c r="C105" i="42"/>
  <c r="F50" i="34"/>
  <c r="F51" i="34"/>
  <c r="Z127" i="42" l="1"/>
  <c r="C82" i="10"/>
  <c r="C81" i="10"/>
  <c r="D58" i="10"/>
  <c r="D82" i="10"/>
  <c r="D83" i="10"/>
  <c r="D84" i="10"/>
  <c r="D85" i="10"/>
  <c r="D86" i="10"/>
  <c r="D87" i="10"/>
  <c r="D88" i="10"/>
  <c r="D89" i="10"/>
  <c r="D81" i="10"/>
  <c r="C80" i="10"/>
  <c r="C64" i="42"/>
  <c r="C59" i="10"/>
  <c r="D59" i="10"/>
  <c r="D60" i="10"/>
  <c r="D61" i="10"/>
  <c r="F77" i="34"/>
  <c r="L46" i="34" l="1"/>
  <c r="Z146" i="42"/>
  <c r="Z147" i="42"/>
  <c r="Z148" i="42"/>
  <c r="Z149" i="42"/>
  <c r="Z150" i="42"/>
  <c r="Z151" i="42"/>
  <c r="Z152" i="42"/>
  <c r="U146" i="42"/>
  <c r="U147" i="42"/>
  <c r="U148" i="42"/>
  <c r="U149" i="42"/>
  <c r="U150" i="42"/>
  <c r="U151" i="42"/>
  <c r="U152" i="42"/>
  <c r="E56" i="35"/>
  <c r="E55" i="35"/>
  <c r="AA144" i="42"/>
  <c r="V144" i="42"/>
  <c r="Z153" i="42"/>
  <c r="V152" i="42"/>
  <c r="V151" i="42"/>
  <c r="V150" i="42"/>
  <c r="V149" i="42"/>
  <c r="V148" i="42"/>
  <c r="V147" i="42"/>
  <c r="V146" i="42"/>
  <c r="Z145" i="42"/>
  <c r="V145" i="42"/>
  <c r="U145" i="42" l="1"/>
  <c r="E57" i="35" l="1"/>
  <c r="E58" i="35"/>
  <c r="E59" i="35"/>
  <c r="E60" i="35"/>
  <c r="E61" i="35"/>
  <c r="E62" i="35"/>
  <c r="E63" i="35"/>
  <c r="E64" i="35"/>
  <c r="E65" i="35"/>
  <c r="AE13" i="35" l="1"/>
  <c r="AE14" i="35"/>
  <c r="V63" i="42" l="1"/>
  <c r="AA63" i="42"/>
  <c r="AA81" i="42" s="1"/>
  <c r="AF63" i="42"/>
  <c r="AF81" i="42" s="1"/>
  <c r="R23" i="10"/>
  <c r="Q24" i="10"/>
  <c r="Q25" i="10"/>
  <c r="Q26" i="10"/>
  <c r="Q27" i="10"/>
  <c r="Q28" i="10"/>
  <c r="H56" i="35"/>
  <c r="AE75" i="42" s="1"/>
  <c r="AC139" i="10"/>
  <c r="AC140" i="10"/>
  <c r="AC146" i="10"/>
  <c r="AC147" i="10"/>
  <c r="V73" i="42"/>
  <c r="V72" i="42"/>
  <c r="U72" i="42"/>
  <c r="V71" i="42"/>
  <c r="U71" i="42"/>
  <c r="V70" i="42"/>
  <c r="U70" i="42"/>
  <c r="V69" i="42"/>
  <c r="U69" i="42"/>
  <c r="V68" i="42"/>
  <c r="U68" i="42"/>
  <c r="V67" i="42"/>
  <c r="U67" i="42"/>
  <c r="V66" i="42"/>
  <c r="U66" i="42"/>
  <c r="V65" i="42"/>
  <c r="U65" i="42"/>
  <c r="V64" i="42"/>
  <c r="U64" i="42"/>
  <c r="T64" i="42"/>
  <c r="V15" i="42"/>
  <c r="V16" i="42"/>
  <c r="V17" i="42"/>
  <c r="V18" i="42"/>
  <c r="V19" i="42"/>
  <c r="V20" i="42"/>
  <c r="V21" i="42"/>
  <c r="V22" i="42"/>
  <c r="V23" i="42"/>
  <c r="AF13" i="42"/>
  <c r="AF14" i="42"/>
  <c r="AF16" i="42"/>
  <c r="AF17" i="42"/>
  <c r="AF18" i="42"/>
  <c r="AF19" i="42"/>
  <c r="AF20" i="42"/>
  <c r="AF21" i="42"/>
  <c r="AF22" i="42"/>
  <c r="AF23" i="42"/>
  <c r="AA13" i="42"/>
  <c r="AA14" i="42"/>
  <c r="AA15" i="42"/>
  <c r="AA16" i="42"/>
  <c r="AA17" i="42"/>
  <c r="AA18" i="42"/>
  <c r="AA19" i="42"/>
  <c r="AA20" i="42"/>
  <c r="AA21" i="42"/>
  <c r="AA22" i="42"/>
  <c r="U75" i="42" l="1"/>
  <c r="Z75" i="42"/>
  <c r="V81" i="42"/>
  <c r="I15" i="32"/>
  <c r="I10" i="32"/>
  <c r="I5" i="32"/>
  <c r="H3" i="32"/>
  <c r="I71" i="22"/>
  <c r="E14" i="21"/>
  <c r="E15" i="21"/>
  <c r="E18" i="21"/>
  <c r="AF107" i="42"/>
  <c r="AE105" i="42"/>
  <c r="AE104" i="42"/>
  <c r="AE103" i="42"/>
  <c r="AE102" i="42"/>
  <c r="AE101" i="42"/>
  <c r="AE100" i="42"/>
  <c r="AA107" i="42"/>
  <c r="Z105" i="42"/>
  <c r="Z104" i="42"/>
  <c r="Z103" i="42"/>
  <c r="Z102" i="42"/>
  <c r="Z101" i="42"/>
  <c r="Z100" i="42"/>
  <c r="AE107" i="42" l="1"/>
  <c r="AF108" i="42" s="1"/>
  <c r="Z107" i="42"/>
  <c r="AA108" i="42" s="1"/>
  <c r="N65" i="42"/>
  <c r="N66" i="42"/>
  <c r="N68" i="42"/>
  <c r="N69" i="42"/>
  <c r="AA133" i="42"/>
  <c r="V135" i="42"/>
  <c r="D106" i="42"/>
  <c r="H57" i="35"/>
  <c r="H58" i="35"/>
  <c r="H59" i="35"/>
  <c r="H60" i="35"/>
  <c r="H55" i="35"/>
  <c r="H61" i="35"/>
  <c r="AE134" i="42" s="1"/>
  <c r="H62" i="35"/>
  <c r="Z135" i="42" s="1"/>
  <c r="H63" i="35"/>
  <c r="H64" i="35"/>
  <c r="H65" i="35"/>
  <c r="H66" i="35"/>
  <c r="V89" i="42"/>
  <c r="H109" i="42" l="1"/>
  <c r="U77" i="42"/>
  <c r="AE77" i="42"/>
  <c r="Z77" i="42"/>
  <c r="M106" i="42"/>
  <c r="AE74" i="42"/>
  <c r="U100" i="42"/>
  <c r="Z74" i="42"/>
  <c r="U74" i="42"/>
  <c r="H108" i="42"/>
  <c r="U76" i="42"/>
  <c r="AE76" i="42"/>
  <c r="Z76" i="42"/>
  <c r="Z78" i="42"/>
  <c r="AE78" i="42"/>
  <c r="U78" i="42"/>
  <c r="U133" i="42"/>
  <c r="AE79" i="42"/>
  <c r="Z79" i="42"/>
  <c r="U79" i="42"/>
  <c r="AE132" i="42"/>
  <c r="M110" i="42"/>
  <c r="C110" i="42"/>
  <c r="C109" i="42"/>
  <c r="M109" i="42"/>
  <c r="I110" i="42"/>
  <c r="N110" i="42"/>
  <c r="U128" i="42"/>
  <c r="C106" i="42"/>
  <c r="C108" i="42"/>
  <c r="M108" i="42"/>
  <c r="N106" i="42"/>
  <c r="I106" i="42"/>
  <c r="N109" i="42"/>
  <c r="I109" i="42"/>
  <c r="H106" i="42"/>
  <c r="Z134" i="42"/>
  <c r="N108" i="42"/>
  <c r="I108" i="42"/>
  <c r="H110" i="42"/>
  <c r="M107" i="42"/>
  <c r="C107" i="42"/>
  <c r="H107" i="42"/>
  <c r="N107" i="42"/>
  <c r="I107" i="42"/>
  <c r="AE108" i="42"/>
  <c r="Z108" i="42"/>
  <c r="AA135" i="42"/>
  <c r="AF135" i="42"/>
  <c r="AF133" i="42"/>
  <c r="V133" i="42"/>
  <c r="U135" i="42"/>
  <c r="AE133" i="42"/>
  <c r="U134" i="42"/>
  <c r="Z133" i="42"/>
  <c r="AE135" i="42"/>
  <c r="U132" i="42"/>
  <c r="Z132" i="42"/>
  <c r="AE128" i="42"/>
  <c r="U101" i="42"/>
  <c r="U102" i="42"/>
  <c r="U103" i="42"/>
  <c r="U105" i="42"/>
  <c r="N64" i="42"/>
  <c r="N101" i="42"/>
  <c r="M105" i="42"/>
  <c r="N93" i="42"/>
  <c r="N94" i="42"/>
  <c r="N96" i="42"/>
  <c r="N97" i="42"/>
  <c r="N98" i="42"/>
  <c r="N99" i="42"/>
  <c r="N100" i="42"/>
  <c r="N102" i="42"/>
  <c r="N103" i="42"/>
  <c r="N104" i="42"/>
  <c r="N105" i="42"/>
  <c r="N92" i="42"/>
  <c r="H105" i="42"/>
  <c r="I93" i="42"/>
  <c r="I94" i="42"/>
  <c r="I95" i="42"/>
  <c r="I96" i="42"/>
  <c r="I97" i="42"/>
  <c r="I98" i="42"/>
  <c r="I99" i="42"/>
  <c r="I100" i="42"/>
  <c r="I101" i="42"/>
  <c r="I102" i="42"/>
  <c r="I103" i="42"/>
  <c r="I104" i="42"/>
  <c r="I105" i="42"/>
  <c r="I92" i="42"/>
  <c r="D93" i="42"/>
  <c r="D95" i="42"/>
  <c r="D96" i="42"/>
  <c r="D97" i="42"/>
  <c r="D98" i="42"/>
  <c r="D99" i="42"/>
  <c r="D100" i="42"/>
  <c r="D101" i="42"/>
  <c r="D102" i="42"/>
  <c r="D103" i="42"/>
  <c r="D104" i="42"/>
  <c r="D105" i="42"/>
  <c r="M75" i="42"/>
  <c r="N70" i="42"/>
  <c r="N71" i="42"/>
  <c r="N72" i="42"/>
  <c r="N73" i="42"/>
  <c r="N74" i="42"/>
  <c r="N75" i="42"/>
  <c r="I75" i="42"/>
  <c r="H75" i="42"/>
  <c r="I65" i="42"/>
  <c r="I66" i="42"/>
  <c r="I67" i="42"/>
  <c r="I68" i="42"/>
  <c r="I69" i="42"/>
  <c r="I70" i="42"/>
  <c r="I71" i="42"/>
  <c r="I72" i="42"/>
  <c r="I73" i="42"/>
  <c r="I74" i="42"/>
  <c r="I64" i="42"/>
  <c r="C75" i="42"/>
  <c r="D75" i="42"/>
  <c r="D67" i="42"/>
  <c r="D68" i="42"/>
  <c r="D69" i="42"/>
  <c r="D70" i="42"/>
  <c r="D71" i="42"/>
  <c r="D72" i="42"/>
  <c r="D73" i="42"/>
  <c r="D74" i="42"/>
  <c r="U91" i="42"/>
  <c r="U92" i="42"/>
  <c r="U93" i="42"/>
  <c r="U94" i="42"/>
  <c r="U95" i="42"/>
  <c r="U96" i="42"/>
  <c r="U97" i="42"/>
  <c r="U98" i="42"/>
  <c r="V91" i="42"/>
  <c r="V92" i="42"/>
  <c r="V93" i="42"/>
  <c r="V94" i="42"/>
  <c r="V95" i="42"/>
  <c r="V96" i="42"/>
  <c r="V97" i="42"/>
  <c r="V98" i="42"/>
  <c r="V99" i="42"/>
  <c r="Z81" i="42" l="1"/>
  <c r="AE81" i="42"/>
  <c r="U81" i="42"/>
  <c r="Z129" i="42"/>
  <c r="U104" i="42"/>
  <c r="U129" i="42"/>
  <c r="Z128" i="42"/>
  <c r="AE82" i="42" l="1"/>
  <c r="AF82" i="42"/>
  <c r="V82" i="42"/>
  <c r="U82" i="42"/>
  <c r="AA82" i="42"/>
  <c r="Z82" i="42"/>
  <c r="N137" i="42"/>
  <c r="I130" i="42"/>
  <c r="I131" i="42"/>
  <c r="I132" i="42"/>
  <c r="I133" i="42"/>
  <c r="I134" i="42"/>
  <c r="I135" i="42"/>
  <c r="I136" i="42"/>
  <c r="I137" i="42"/>
  <c r="D130" i="42"/>
  <c r="D131" i="42"/>
  <c r="D132" i="42"/>
  <c r="D133" i="42"/>
  <c r="D134" i="42"/>
  <c r="D135" i="42"/>
  <c r="D136" i="42"/>
  <c r="V90" i="42" l="1"/>
  <c r="U90" i="42"/>
  <c r="T90" i="42"/>
  <c r="AF129" i="42"/>
  <c r="AF130" i="42"/>
  <c r="Z136" i="42"/>
  <c r="AE130" i="42" l="1"/>
  <c r="Z130" i="42"/>
  <c r="U130" i="42"/>
  <c r="Z131" i="42"/>
  <c r="AE131" i="42"/>
  <c r="U131" i="42"/>
  <c r="AA128" i="42"/>
  <c r="V128" i="42"/>
  <c r="AF128" i="42"/>
  <c r="AA129" i="42"/>
  <c r="D108" i="42"/>
  <c r="D107" i="42"/>
  <c r="AA130" i="42"/>
  <c r="AE129" i="42"/>
  <c r="V130" i="42"/>
  <c r="V129" i="42"/>
  <c r="V107" i="42"/>
  <c r="U107" i="42" l="1"/>
  <c r="V108" i="42" s="1"/>
  <c r="D11" i="21" s="1"/>
  <c r="U108" i="42" l="1"/>
  <c r="E11" i="21" s="1"/>
  <c r="AL35" i="35"/>
  <c r="R40" i="10"/>
  <c r="T120" i="10"/>
  <c r="M64" i="42" l="1"/>
  <c r="AE12" i="42"/>
  <c r="V134" i="42"/>
  <c r="AF134" i="42"/>
  <c r="AA134" i="42"/>
  <c r="D110" i="42"/>
  <c r="V132" i="42"/>
  <c r="AA132" i="42"/>
  <c r="AF132" i="42"/>
  <c r="AF131" i="42"/>
  <c r="AA131" i="42"/>
  <c r="V131" i="42"/>
  <c r="M92" i="42"/>
  <c r="H92" i="42"/>
  <c r="H93" i="42"/>
  <c r="M93" i="42"/>
  <c r="H64" i="42"/>
  <c r="D109" i="42"/>
  <c r="Q42" i="10"/>
  <c r="Q43" i="10"/>
  <c r="Q44" i="10"/>
  <c r="Q45" i="10"/>
  <c r="Q46" i="10"/>
  <c r="Q47" i="10"/>
  <c r="R42" i="10"/>
  <c r="R44" i="10"/>
  <c r="R45" i="10"/>
  <c r="R46" i="10"/>
  <c r="R47" i="10"/>
  <c r="H123" i="10"/>
  <c r="AL37" i="35" l="1"/>
  <c r="AL38" i="35"/>
  <c r="AL39" i="35"/>
  <c r="AL40" i="35"/>
  <c r="AL41" i="35"/>
  <c r="AL42" i="35"/>
  <c r="AL43" i="35"/>
  <c r="AL44" i="35"/>
  <c r="AE21" i="42" s="1"/>
  <c r="AL45" i="35"/>
  <c r="AE22" i="42" s="1"/>
  <c r="AL36" i="35"/>
  <c r="AE13" i="42" s="1"/>
  <c r="C85" i="10" l="1"/>
  <c r="AE16" i="42"/>
  <c r="C89" i="10"/>
  <c r="AE20" i="42"/>
  <c r="C86" i="10"/>
  <c r="AE17" i="42"/>
  <c r="C88" i="10"/>
  <c r="AE19" i="42"/>
  <c r="C87" i="10"/>
  <c r="AE18" i="42"/>
  <c r="C61" i="10"/>
  <c r="C84" i="10"/>
  <c r="AE15" i="42"/>
  <c r="C83" i="10"/>
  <c r="C60" i="10"/>
  <c r="AE14" i="42"/>
  <c r="C69" i="42"/>
  <c r="H69" i="42"/>
  <c r="M69" i="42"/>
  <c r="H72" i="42"/>
  <c r="M72" i="42"/>
  <c r="C72" i="42"/>
  <c r="H68" i="42"/>
  <c r="M68" i="42"/>
  <c r="C68" i="42"/>
  <c r="H73" i="42"/>
  <c r="M73" i="42"/>
  <c r="C73" i="42"/>
  <c r="H65" i="42"/>
  <c r="M65" i="42"/>
  <c r="C65" i="42"/>
  <c r="M71" i="42"/>
  <c r="H71" i="42"/>
  <c r="C71" i="42"/>
  <c r="M67" i="42"/>
  <c r="C67" i="42"/>
  <c r="H67" i="42"/>
  <c r="C74" i="42"/>
  <c r="H74" i="42"/>
  <c r="M74" i="42"/>
  <c r="C70" i="42"/>
  <c r="M70" i="42"/>
  <c r="H70" i="42"/>
  <c r="C66" i="42"/>
  <c r="H66" i="42"/>
  <c r="M66" i="42"/>
  <c r="C38" i="42"/>
  <c r="C39" i="42"/>
  <c r="C40" i="42"/>
  <c r="C41" i="42"/>
  <c r="C42" i="42"/>
  <c r="C43" i="42"/>
  <c r="C44" i="42"/>
  <c r="C45" i="42"/>
  <c r="C46" i="42"/>
  <c r="C36" i="42"/>
  <c r="C12" i="42"/>
  <c r="C13" i="42"/>
  <c r="C14" i="42"/>
  <c r="C15" i="42"/>
  <c r="C16" i="42"/>
  <c r="C17" i="42"/>
  <c r="C18" i="42"/>
  <c r="C19" i="42"/>
  <c r="C20" i="42"/>
  <c r="C21" i="42"/>
  <c r="C92" i="42" l="1"/>
  <c r="L52" i="34" l="1"/>
  <c r="L51" i="34" s="1"/>
  <c r="L36" i="34" l="1"/>
  <c r="L18" i="34"/>
  <c r="F78" i="34"/>
  <c r="C91" i="42" s="1"/>
  <c r="F41" i="34"/>
  <c r="F21" i="34"/>
  <c r="L23" i="34" l="1"/>
  <c r="L15" i="34"/>
  <c r="C15" i="10" l="1"/>
  <c r="C36" i="10" l="1"/>
  <c r="F67" i="34" l="1"/>
  <c r="C10" i="42" s="1"/>
  <c r="I84" i="22" l="1"/>
  <c r="I80" i="22"/>
  <c r="J120" i="22"/>
  <c r="I122" i="22"/>
  <c r="I126" i="22" s="1"/>
  <c r="I120" i="22"/>
  <c r="I118" i="22"/>
  <c r="Y28" i="10"/>
  <c r="X28" i="10"/>
  <c r="Y27" i="10"/>
  <c r="X27" i="10"/>
  <c r="Y26" i="10"/>
  <c r="X26" i="10"/>
  <c r="Y25" i="10"/>
  <c r="X25" i="10"/>
  <c r="Y24" i="10"/>
  <c r="X24" i="10"/>
  <c r="Q41" i="10"/>
  <c r="X31" i="10" l="1"/>
  <c r="Y23" i="10"/>
  <c r="Y31" i="10" s="1"/>
  <c r="Y32" i="10" l="1"/>
  <c r="J114" i="22" s="1"/>
  <c r="X32" i="10"/>
  <c r="AA43" i="42"/>
  <c r="AA44" i="42"/>
  <c r="AA45" i="42"/>
  <c r="AA46" i="42"/>
  <c r="AA47" i="42"/>
  <c r="AA48" i="42"/>
  <c r="AA49" i="42"/>
  <c r="AA50" i="42"/>
  <c r="AA51" i="42"/>
  <c r="AA52" i="42"/>
  <c r="V42" i="42"/>
  <c r="U53" i="42"/>
  <c r="V43" i="42"/>
  <c r="V44" i="42"/>
  <c r="V45" i="42"/>
  <c r="V46" i="42"/>
  <c r="V47" i="42"/>
  <c r="V48" i="42"/>
  <c r="V49" i="42"/>
  <c r="V50" i="42"/>
  <c r="V51" i="42"/>
  <c r="V52" i="42"/>
  <c r="U23" i="42"/>
  <c r="AA12" i="42"/>
  <c r="AF12" i="42"/>
  <c r="U15" i="42"/>
  <c r="Z18" i="42"/>
  <c r="U19" i="42"/>
  <c r="Z22" i="42"/>
  <c r="D36" i="42"/>
  <c r="I114" i="22"/>
  <c r="I113" i="22"/>
  <c r="AE48" i="42" l="1"/>
  <c r="AE44" i="42"/>
  <c r="Z50" i="42"/>
  <c r="AE52" i="42"/>
  <c r="Z46" i="42"/>
  <c r="AE51" i="42"/>
  <c r="AE47" i="42"/>
  <c r="AE43" i="42"/>
  <c r="Z49" i="42"/>
  <c r="Z45" i="42"/>
  <c r="AE50" i="42"/>
  <c r="AE46" i="42"/>
  <c r="Z52" i="42"/>
  <c r="Z48" i="42"/>
  <c r="Z44" i="42"/>
  <c r="U46" i="42"/>
  <c r="AE49" i="42"/>
  <c r="AE45" i="42"/>
  <c r="Z51" i="42"/>
  <c r="Z47" i="42"/>
  <c r="Z43" i="42"/>
  <c r="U42" i="42"/>
  <c r="AE42" i="42"/>
  <c r="Z42" i="42"/>
  <c r="U49" i="42"/>
  <c r="U45" i="42"/>
  <c r="U50" i="42"/>
  <c r="U52" i="42"/>
  <c r="U48" i="42"/>
  <c r="U44" i="42"/>
  <c r="U51" i="42"/>
  <c r="U47" i="42"/>
  <c r="U43" i="42"/>
  <c r="U22" i="42"/>
  <c r="U21" i="42"/>
  <c r="Z17" i="42"/>
  <c r="U12" i="42"/>
  <c r="U18" i="42"/>
  <c r="U17" i="42"/>
  <c r="Z21" i="42"/>
  <c r="Z12" i="42"/>
  <c r="Z20" i="42"/>
  <c r="Z16" i="42"/>
  <c r="U20" i="42"/>
  <c r="U16" i="42"/>
  <c r="Z19" i="42"/>
  <c r="Z15" i="42"/>
  <c r="U13" i="42"/>
  <c r="Z14" i="42"/>
  <c r="U14" i="42"/>
  <c r="Z13" i="42"/>
  <c r="AA24" i="42"/>
  <c r="I112" i="22"/>
  <c r="AI35" i="35"/>
  <c r="U24" i="42" l="1"/>
  <c r="AE24" i="42"/>
  <c r="Z24" i="42"/>
  <c r="AA25" i="42" l="1"/>
  <c r="Z25" i="42"/>
  <c r="J52" i="22"/>
  <c r="I108" i="22" l="1"/>
  <c r="I106" i="22"/>
  <c r="I101" i="22"/>
  <c r="I97" i="22" s="1"/>
  <c r="I5" i="22"/>
  <c r="I37" i="22"/>
  <c r="I8" i="22"/>
  <c r="I7" i="22" s="1"/>
  <c r="C35" i="42"/>
  <c r="Y138" i="10"/>
  <c r="Y139" i="10"/>
  <c r="Y140" i="10"/>
  <c r="Y141" i="10"/>
  <c r="Y142" i="10"/>
  <c r="Y143" i="10"/>
  <c r="Y144" i="10"/>
  <c r="Y145" i="10"/>
  <c r="Y146" i="10"/>
  <c r="Y147" i="10"/>
  <c r="Y137" i="10"/>
  <c r="AD148" i="10"/>
  <c r="D9" i="10"/>
  <c r="Y148" i="10" l="1"/>
  <c r="E20" i="21"/>
  <c r="I63" i="22"/>
  <c r="I62" i="22" s="1"/>
  <c r="I11" i="22"/>
  <c r="I10" i="22" s="1"/>
  <c r="I14" i="22"/>
  <c r="I18" i="22" l="1"/>
  <c r="C70" i="10"/>
  <c r="E20" i="33"/>
  <c r="E26" i="33"/>
  <c r="E25" i="33" s="1"/>
  <c r="N101" i="10"/>
  <c r="N102" i="10"/>
  <c r="N103" i="10"/>
  <c r="N104" i="10"/>
  <c r="N105" i="10"/>
  <c r="N106" i="10"/>
  <c r="N107" i="10"/>
  <c r="N108" i="10"/>
  <c r="N109" i="10"/>
  <c r="N110" i="10"/>
  <c r="N100" i="10"/>
  <c r="M101" i="10"/>
  <c r="M102" i="10"/>
  <c r="M103" i="10"/>
  <c r="M104" i="10"/>
  <c r="M105" i="10"/>
  <c r="M106" i="10"/>
  <c r="M107" i="10"/>
  <c r="M108" i="10"/>
  <c r="M109" i="10"/>
  <c r="M110" i="10"/>
  <c r="M100" i="10"/>
  <c r="L21" i="33" l="1"/>
  <c r="V41" i="42"/>
  <c r="I104" i="22"/>
  <c r="N111" i="10"/>
  <c r="E17" i="33"/>
  <c r="Q137" i="10" l="1"/>
  <c r="H76" i="42" l="1"/>
  <c r="M76" i="42"/>
  <c r="C76" i="42"/>
  <c r="M127" i="42"/>
  <c r="H127" i="42"/>
  <c r="M37" i="42"/>
  <c r="M38" i="42"/>
  <c r="M39" i="42"/>
  <c r="M40" i="42"/>
  <c r="M41" i="42"/>
  <c r="M42" i="42"/>
  <c r="M43" i="42"/>
  <c r="M44" i="42"/>
  <c r="M45" i="42"/>
  <c r="M46" i="42"/>
  <c r="M36" i="42"/>
  <c r="H37" i="42"/>
  <c r="H38" i="42"/>
  <c r="H39" i="42"/>
  <c r="H40" i="42"/>
  <c r="H41" i="42"/>
  <c r="H42" i="42"/>
  <c r="H43" i="42"/>
  <c r="H44" i="42"/>
  <c r="H45" i="42"/>
  <c r="H46" i="42"/>
  <c r="H36" i="42"/>
  <c r="M12" i="42"/>
  <c r="M13" i="42"/>
  <c r="M14" i="42"/>
  <c r="M15" i="42"/>
  <c r="M16" i="42"/>
  <c r="M17" i="42"/>
  <c r="M18" i="42"/>
  <c r="M19" i="42"/>
  <c r="M20" i="42"/>
  <c r="M21" i="42"/>
  <c r="M11" i="42"/>
  <c r="H12" i="42"/>
  <c r="H13" i="42"/>
  <c r="H14" i="42"/>
  <c r="H15" i="42"/>
  <c r="H16" i="42"/>
  <c r="H17" i="42"/>
  <c r="H18" i="42"/>
  <c r="H19" i="42"/>
  <c r="H20" i="42"/>
  <c r="H21" i="42"/>
  <c r="H11" i="42"/>
  <c r="AE17" i="35"/>
  <c r="AE18" i="35"/>
  <c r="AE19" i="35"/>
  <c r="AE20" i="35"/>
  <c r="AE21" i="35"/>
  <c r="AE22" i="35"/>
  <c r="AE23" i="35"/>
  <c r="AE24" i="35"/>
  <c r="AE25" i="35"/>
  <c r="AE15" i="35"/>
  <c r="AE16" i="35"/>
  <c r="H94" i="42" l="1"/>
  <c r="M94" i="42"/>
  <c r="M100" i="42"/>
  <c r="H100" i="42"/>
  <c r="H101" i="42"/>
  <c r="M101" i="42"/>
  <c r="H97" i="42"/>
  <c r="M97" i="42"/>
  <c r="H103" i="42"/>
  <c r="M103" i="42"/>
  <c r="H99" i="42"/>
  <c r="M99" i="42"/>
  <c r="M104" i="42"/>
  <c r="H104" i="42"/>
  <c r="M96" i="42"/>
  <c r="H96" i="42"/>
  <c r="H95" i="42"/>
  <c r="M95" i="42"/>
  <c r="H102" i="42"/>
  <c r="M102" i="42"/>
  <c r="H98" i="42"/>
  <c r="M98" i="42"/>
  <c r="C102" i="42"/>
  <c r="H129" i="42"/>
  <c r="C94" i="42"/>
  <c r="C101" i="42"/>
  <c r="M132" i="42"/>
  <c r="C97" i="42"/>
  <c r="C95" i="42"/>
  <c r="C96" i="42"/>
  <c r="C104" i="42"/>
  <c r="C100" i="42"/>
  <c r="N12" i="42"/>
  <c r="C93" i="42"/>
  <c r="C103" i="42"/>
  <c r="C99" i="42"/>
  <c r="D17" i="42"/>
  <c r="C98" i="42"/>
  <c r="D42" i="42"/>
  <c r="I43" i="42"/>
  <c r="N43" i="42"/>
  <c r="D37" i="42"/>
  <c r="I16" i="42"/>
  <c r="N20" i="42"/>
  <c r="I39" i="42"/>
  <c r="N39" i="42"/>
  <c r="N16" i="42"/>
  <c r="M136" i="42"/>
  <c r="I20" i="42"/>
  <c r="M137" i="42"/>
  <c r="M133" i="42"/>
  <c r="D46" i="42"/>
  <c r="D12" i="42"/>
  <c r="M134" i="42"/>
  <c r="H22" i="42"/>
  <c r="H47" i="42"/>
  <c r="M47" i="42"/>
  <c r="M22" i="42"/>
  <c r="M130" i="42"/>
  <c r="D45" i="42"/>
  <c r="D41" i="42"/>
  <c r="D16" i="42"/>
  <c r="D21" i="42"/>
  <c r="I19" i="42"/>
  <c r="I15" i="42"/>
  <c r="N19" i="42"/>
  <c r="N15" i="42"/>
  <c r="I46" i="42"/>
  <c r="I42" i="42"/>
  <c r="I38" i="42"/>
  <c r="N46" i="42"/>
  <c r="N42" i="42"/>
  <c r="N38" i="42"/>
  <c r="H134" i="42"/>
  <c r="H130" i="42"/>
  <c r="M129" i="42"/>
  <c r="H135" i="42"/>
  <c r="D44" i="42"/>
  <c r="D40" i="42"/>
  <c r="D19" i="42"/>
  <c r="D15" i="42"/>
  <c r="D20" i="42"/>
  <c r="I18" i="42"/>
  <c r="I13" i="42"/>
  <c r="N18" i="42"/>
  <c r="N14" i="42"/>
  <c r="I45" i="42"/>
  <c r="I41" i="42"/>
  <c r="I37" i="42"/>
  <c r="N45" i="42"/>
  <c r="N41" i="42"/>
  <c r="N37" i="42"/>
  <c r="H137" i="42"/>
  <c r="H133" i="42"/>
  <c r="M128" i="42"/>
  <c r="H131" i="42"/>
  <c r="I14" i="42"/>
  <c r="D43" i="42"/>
  <c r="D38" i="42"/>
  <c r="D18" i="42"/>
  <c r="D13" i="42"/>
  <c r="I21" i="42"/>
  <c r="I17" i="42"/>
  <c r="I12" i="42"/>
  <c r="N21" i="42"/>
  <c r="N17" i="42"/>
  <c r="N13" i="42"/>
  <c r="I44" i="42"/>
  <c r="I40" i="42"/>
  <c r="N44" i="42"/>
  <c r="N40" i="42"/>
  <c r="H136" i="42"/>
  <c r="H132" i="42"/>
  <c r="H128" i="42"/>
  <c r="M135" i="42"/>
  <c r="M131" i="42"/>
  <c r="N11" i="42"/>
  <c r="N36" i="42"/>
  <c r="D11" i="42"/>
  <c r="I11" i="42"/>
  <c r="I36" i="42"/>
  <c r="D39" i="42"/>
  <c r="D14" i="42"/>
  <c r="M144" i="42" l="1"/>
  <c r="I22" i="42"/>
  <c r="I23" i="42" s="1"/>
  <c r="H23" i="42" l="1"/>
  <c r="I44" i="22"/>
  <c r="I40" i="22" s="1"/>
  <c r="F84" i="34" l="1"/>
  <c r="M91" i="42" l="1"/>
  <c r="AE127" i="42"/>
  <c r="I61" i="22"/>
  <c r="L13" i="34"/>
  <c r="L11" i="34"/>
  <c r="L60" i="34"/>
  <c r="L36" i="33" s="1"/>
  <c r="L57" i="34"/>
  <c r="L34" i="33" s="1"/>
  <c r="L55" i="34"/>
  <c r="L32" i="33" s="1"/>
  <c r="L44" i="34"/>
  <c r="I111" i="22" s="1"/>
  <c r="L41" i="34"/>
  <c r="L39" i="34"/>
  <c r="L25" i="33" l="1"/>
  <c r="L30" i="34"/>
  <c r="L17" i="33" s="1"/>
  <c r="L16" i="33" s="1"/>
  <c r="L29" i="34" l="1"/>
  <c r="F82" i="34"/>
  <c r="H91" i="42" s="1"/>
  <c r="F86" i="34"/>
  <c r="F75" i="34"/>
  <c r="I56" i="22" s="1"/>
  <c r="F73" i="34"/>
  <c r="I55" i="22" s="1"/>
  <c r="F70" i="34"/>
  <c r="F63" i="34"/>
  <c r="I48" i="22" s="1"/>
  <c r="I47" i="22" s="1"/>
  <c r="I39" i="22" s="1"/>
  <c r="F55" i="34"/>
  <c r="I36" i="22"/>
  <c r="I35" i="22" s="1"/>
  <c r="I34" i="22" s="1"/>
  <c r="F11" i="34"/>
  <c r="F6" i="34"/>
  <c r="F8" i="34"/>
  <c r="F45" i="34"/>
  <c r="F37" i="34"/>
  <c r="F33" i="34"/>
  <c r="F30" i="34"/>
  <c r="F27" i="34"/>
  <c r="I19" i="22" s="1"/>
  <c r="I53" i="22" l="1"/>
  <c r="I52" i="22" s="1"/>
  <c r="F66" i="34"/>
  <c r="I51" i="22"/>
  <c r="I50" i="22" s="1"/>
  <c r="I49" i="22" s="1"/>
  <c r="I21" i="22"/>
  <c r="I20" i="22"/>
  <c r="I54" i="22"/>
  <c r="H137" i="10"/>
  <c r="F54" i="34"/>
  <c r="F72" i="34"/>
  <c r="F36" i="34"/>
  <c r="I17" i="22"/>
  <c r="I16" i="22" s="1"/>
  <c r="I15" i="22"/>
  <c r="I13" i="22" s="1"/>
  <c r="I60" i="22"/>
  <c r="C99" i="10"/>
  <c r="H144" i="42"/>
  <c r="N136" i="42"/>
  <c r="N135" i="42"/>
  <c r="N134" i="42"/>
  <c r="N133" i="42"/>
  <c r="N132" i="42"/>
  <c r="I129" i="42"/>
  <c r="D129" i="42"/>
  <c r="I128" i="42"/>
  <c r="D128" i="42"/>
  <c r="I127" i="42"/>
  <c r="D127" i="42"/>
  <c r="H221" i="42"/>
  <c r="H220" i="42"/>
  <c r="H219" i="42"/>
  <c r="H218" i="42"/>
  <c r="H217" i="42"/>
  <c r="H216" i="42"/>
  <c r="I209" i="42"/>
  <c r="H209" i="42"/>
  <c r="I208" i="42"/>
  <c r="H208" i="42"/>
  <c r="I207" i="42"/>
  <c r="H207" i="42"/>
  <c r="I206" i="42"/>
  <c r="H206" i="42"/>
  <c r="I205" i="42"/>
  <c r="I204" i="42"/>
  <c r="H204" i="42"/>
  <c r="I203" i="42"/>
  <c r="H203" i="42"/>
  <c r="I202" i="42"/>
  <c r="H202" i="42"/>
  <c r="I201" i="42"/>
  <c r="H201" i="42"/>
  <c r="I200" i="42"/>
  <c r="H200" i="42"/>
  <c r="H194" i="42"/>
  <c r="H193" i="42"/>
  <c r="H192" i="42"/>
  <c r="H191" i="42"/>
  <c r="H190" i="42"/>
  <c r="H189" i="42"/>
  <c r="H188" i="42"/>
  <c r="H187" i="42"/>
  <c r="H186" i="42"/>
  <c r="H177" i="42"/>
  <c r="H176" i="42"/>
  <c r="H175" i="42"/>
  <c r="H174" i="42"/>
  <c r="N177" i="42"/>
  <c r="H173" i="42"/>
  <c r="N176" i="42"/>
  <c r="H172" i="42"/>
  <c r="N175" i="42"/>
  <c r="H171" i="42"/>
  <c r="N174" i="42"/>
  <c r="N173" i="42"/>
  <c r="N172" i="42"/>
  <c r="N171" i="42"/>
  <c r="N170" i="42"/>
  <c r="N169" i="42"/>
  <c r="N168" i="42"/>
  <c r="N167" i="42"/>
  <c r="C176" i="42"/>
  <c r="C175" i="42"/>
  <c r="C174" i="42"/>
  <c r="C173" i="42"/>
  <c r="C172" i="42"/>
  <c r="C171" i="42"/>
  <c r="C170" i="42"/>
  <c r="C169" i="42"/>
  <c r="C168" i="42"/>
  <c r="C167" i="42"/>
  <c r="C166" i="42"/>
  <c r="C112" i="42" l="1"/>
  <c r="I9" i="22"/>
  <c r="I144" i="42"/>
  <c r="H145" i="42" s="1"/>
  <c r="D144" i="42"/>
  <c r="N47" i="42"/>
  <c r="H112" i="42"/>
  <c r="H210" i="42"/>
  <c r="I112" i="42"/>
  <c r="I47" i="42"/>
  <c r="D47" i="42"/>
  <c r="N36" i="29"/>
  <c r="I36" i="29"/>
  <c r="H153" i="42" l="1"/>
  <c r="I145" i="42"/>
  <c r="H48" i="42"/>
  <c r="I48" i="42"/>
  <c r="N48" i="42"/>
  <c r="M48" i="42"/>
  <c r="H113" i="42"/>
  <c r="D27" i="21" s="1"/>
  <c r="M137" i="10"/>
  <c r="E9" i="33"/>
  <c r="E16" i="33"/>
  <c r="E18" i="33"/>
  <c r="E38" i="33"/>
  <c r="E40" i="33"/>
  <c r="I113" i="42" l="1"/>
  <c r="E28" i="21" s="1"/>
  <c r="H149" i="42"/>
  <c r="H157" i="42" s="1"/>
  <c r="J60" i="22" s="1"/>
  <c r="E12" i="33"/>
  <c r="C57" i="10"/>
  <c r="C6" i="10"/>
  <c r="F49" i="34"/>
  <c r="I58" i="22" l="1"/>
  <c r="I57" i="22" s="1"/>
  <c r="C137" i="10"/>
  <c r="D36" i="29"/>
  <c r="E36" i="33"/>
  <c r="E29" i="33" l="1"/>
  <c r="F15" i="34"/>
  <c r="F10" i="34" s="1"/>
  <c r="F5" i="34" l="1"/>
  <c r="F88" i="34" s="1"/>
  <c r="L77" i="34" s="1"/>
  <c r="M30" i="33"/>
  <c r="L26" i="33" l="1"/>
  <c r="D63" i="42"/>
  <c r="R136" i="10"/>
  <c r="R13" i="10"/>
  <c r="E8" i="33" l="1"/>
  <c r="E7" i="33"/>
  <c r="Q17" i="10"/>
  <c r="E6" i="33" l="1"/>
  <c r="E5" i="33" s="1"/>
  <c r="C17" i="10"/>
  <c r="C18" i="10"/>
  <c r="C16" i="10"/>
  <c r="C9" i="10"/>
  <c r="C10" i="10" l="1"/>
  <c r="M10" i="10" s="1"/>
  <c r="D15" i="21"/>
  <c r="J8" i="22" l="1"/>
  <c r="J7" i="22" s="1"/>
  <c r="F15" i="21"/>
  <c r="F7" i="33" s="1"/>
  <c r="G15" i="21"/>
  <c r="R17" i="10" l="1"/>
  <c r="R18" i="10" s="1"/>
  <c r="E12" i="21" l="1"/>
  <c r="G12" i="21" l="1"/>
  <c r="F12" i="21"/>
  <c r="E56" i="37"/>
  <c r="H53" i="37"/>
  <c r="E71" i="23"/>
  <c r="H67" i="23"/>
  <c r="H66" i="23"/>
  <c r="X139" i="10"/>
  <c r="X140" i="10"/>
  <c r="X141" i="10"/>
  <c r="X142" i="10"/>
  <c r="X143" i="10"/>
  <c r="X144" i="10"/>
  <c r="X145" i="10"/>
  <c r="X146" i="10"/>
  <c r="X147" i="10"/>
  <c r="R140" i="10"/>
  <c r="R141" i="10"/>
  <c r="R142" i="10"/>
  <c r="R143" i="10"/>
  <c r="R144" i="10"/>
  <c r="R145" i="10"/>
  <c r="R146" i="10"/>
  <c r="R147" i="10"/>
  <c r="H100" i="10"/>
  <c r="H101" i="10"/>
  <c r="H102" i="10"/>
  <c r="H103" i="10"/>
  <c r="H104" i="10"/>
  <c r="H105" i="10"/>
  <c r="H106" i="10"/>
  <c r="H107" i="10"/>
  <c r="H108" i="10"/>
  <c r="H109" i="10"/>
  <c r="H110" i="10"/>
  <c r="M26" i="33" l="1"/>
  <c r="J118" i="10"/>
  <c r="J117" i="10"/>
  <c r="H83" i="10"/>
  <c r="H84" i="10"/>
  <c r="H85" i="10"/>
  <c r="H86" i="10"/>
  <c r="H87" i="10"/>
  <c r="H88" i="10"/>
  <c r="H89" i="10"/>
  <c r="H81" i="10"/>
  <c r="I90" i="10"/>
  <c r="H73" i="10"/>
  <c r="H74" i="10"/>
  <c r="H38" i="10"/>
  <c r="H39" i="10"/>
  <c r="H37" i="10"/>
  <c r="H17" i="10"/>
  <c r="H18" i="10"/>
  <c r="H16" i="10"/>
  <c r="H27" i="10"/>
  <c r="H28" i="10"/>
  <c r="H26" i="10"/>
  <c r="I75" i="10"/>
  <c r="I62" i="10"/>
  <c r="H61" i="10"/>
  <c r="H59" i="10"/>
  <c r="I29" i="10"/>
  <c r="I19" i="10"/>
  <c r="H48" i="10"/>
  <c r="H49" i="10"/>
  <c r="H50" i="10"/>
  <c r="I51" i="10"/>
  <c r="H40" i="10" l="1"/>
  <c r="H41" i="10" s="1"/>
  <c r="H29" i="10"/>
  <c r="H30" i="10" s="1"/>
  <c r="H19" i="10"/>
  <c r="H20" i="10" s="1"/>
  <c r="C27" i="10" l="1"/>
  <c r="C28" i="10"/>
  <c r="C26" i="10"/>
  <c r="S16" i="35"/>
  <c r="S17" i="35"/>
  <c r="S18" i="35"/>
  <c r="S19" i="35"/>
  <c r="S20" i="35"/>
  <c r="S21" i="35"/>
  <c r="S22" i="35"/>
  <c r="S23" i="35"/>
  <c r="S24" i="35"/>
  <c r="S25" i="35"/>
  <c r="M12" i="13" a="1"/>
  <c r="M12" i="13" s="1"/>
  <c r="E12" i="13" l="1" a="1"/>
  <c r="E12" i="13" s="1"/>
  <c r="AN36" i="35"/>
  <c r="AN37" i="35"/>
  <c r="AN38" i="35"/>
  <c r="AN39" i="35"/>
  <c r="AN40" i="35"/>
  <c r="AN41" i="35"/>
  <c r="AN42" i="35"/>
  <c r="AN43" i="35"/>
  <c r="AN44" i="35"/>
  <c r="AN45" i="35"/>
  <c r="AN35" i="35"/>
  <c r="E13" i="13" l="1"/>
  <c r="C37" i="37"/>
  <c r="F21" i="37"/>
  <c r="F25" i="37"/>
  <c r="F29" i="37"/>
  <c r="F33" i="37"/>
  <c r="F37" i="37"/>
  <c r="F17" i="37"/>
  <c r="F13" i="37"/>
  <c r="F9" i="37"/>
  <c r="E25" i="21"/>
  <c r="D22" i="21"/>
  <c r="C205" i="10" l="1"/>
  <c r="F62" i="37"/>
  <c r="F66" i="37"/>
  <c r="F70" i="37"/>
  <c r="F74" i="37"/>
  <c r="F78" i="37"/>
  <c r="F82" i="37"/>
  <c r="F86" i="37"/>
  <c r="F90" i="37"/>
  <c r="F94" i="37"/>
  <c r="F98" i="37"/>
  <c r="F58" i="37"/>
  <c r="W39" i="35"/>
  <c r="W40" i="35"/>
  <c r="W41" i="35"/>
  <c r="W42" i="35"/>
  <c r="W43" i="35"/>
  <c r="W44" i="35"/>
  <c r="W45" i="35"/>
  <c r="AD36" i="35"/>
  <c r="AD37" i="35"/>
  <c r="AD38" i="35"/>
  <c r="AD39" i="35"/>
  <c r="AD40" i="35"/>
  <c r="AD41" i="35"/>
  <c r="AD42" i="35"/>
  <c r="AD35" i="35"/>
  <c r="AD44" i="35"/>
  <c r="AD45" i="35"/>
  <c r="AE36" i="35"/>
  <c r="AE37" i="35"/>
  <c r="AE38" i="35"/>
  <c r="AE39" i="35"/>
  <c r="AE40" i="35"/>
  <c r="AE41" i="35"/>
  <c r="AE43" i="35"/>
  <c r="N128" i="42" s="1"/>
  <c r="AE44" i="35"/>
  <c r="N129" i="42" s="1"/>
  <c r="AE45" i="35"/>
  <c r="N130" i="42" s="1"/>
  <c r="AE35" i="35"/>
  <c r="F103" i="23" l="1"/>
  <c r="F99" i="23"/>
  <c r="F95" i="23"/>
  <c r="F91" i="23"/>
  <c r="F87" i="23"/>
  <c r="F83" i="23"/>
  <c r="F79" i="23"/>
  <c r="AH45" i="35"/>
  <c r="AH44" i="35"/>
  <c r="AH43" i="35"/>
  <c r="AH42" i="35"/>
  <c r="AH41" i="35"/>
  <c r="AH39" i="35"/>
  <c r="AH40" i="35"/>
  <c r="AH38" i="35"/>
  <c r="N95" i="42" s="1"/>
  <c r="AH37" i="35"/>
  <c r="D94" i="42" s="1"/>
  <c r="AH36" i="35"/>
  <c r="AH35" i="35"/>
  <c r="D92" i="42" s="1"/>
  <c r="F75" i="23"/>
  <c r="F97" i="23"/>
  <c r="F16" i="37"/>
  <c r="F20" i="37"/>
  <c r="F24" i="37"/>
  <c r="F28" i="37"/>
  <c r="F32" i="37"/>
  <c r="F36" i="37"/>
  <c r="F40" i="37"/>
  <c r="F39" i="37"/>
  <c r="F35" i="37"/>
  <c r="F31" i="37"/>
  <c r="F27" i="37"/>
  <c r="F23" i="37"/>
  <c r="F19" i="37"/>
  <c r="F15" i="37"/>
  <c r="K19" i="37"/>
  <c r="F11" i="37"/>
  <c r="O17" i="6"/>
  <c r="O18" i="6"/>
  <c r="O19" i="6"/>
  <c r="O20" i="6"/>
  <c r="O21" i="6"/>
  <c r="O22" i="6"/>
  <c r="O23" i="6"/>
  <c r="O14" i="6"/>
  <c r="O15" i="6"/>
  <c r="O13" i="6"/>
  <c r="N21" i="6"/>
  <c r="N22" i="6"/>
  <c r="N15" i="6"/>
  <c r="N16" i="6"/>
  <c r="N17" i="6"/>
  <c r="M13" i="6"/>
  <c r="M17" i="6"/>
  <c r="M18" i="6"/>
  <c r="M19" i="6"/>
  <c r="M20" i="6"/>
  <c r="M21" i="6"/>
  <c r="M22" i="6"/>
  <c r="M23" i="6"/>
  <c r="M14" i="6"/>
  <c r="M15" i="6"/>
  <c r="K13" i="6"/>
  <c r="J13" i="6"/>
  <c r="K23" i="6"/>
  <c r="K14" i="6"/>
  <c r="K15" i="6"/>
  <c r="K16" i="6"/>
  <c r="K17" i="6"/>
  <c r="K18" i="6"/>
  <c r="K19" i="6"/>
  <c r="K20" i="6"/>
  <c r="K21" i="6"/>
  <c r="I13" i="6"/>
  <c r="J18" i="6"/>
  <c r="J19" i="6"/>
  <c r="J20" i="6"/>
  <c r="J21" i="6"/>
  <c r="J22" i="6"/>
  <c r="J23" i="6"/>
  <c r="J14" i="6"/>
  <c r="J15" i="6"/>
  <c r="J16" i="6"/>
  <c r="I20" i="6"/>
  <c r="I16" i="6"/>
  <c r="I17" i="6"/>
  <c r="I18" i="6"/>
  <c r="I19" i="6"/>
  <c r="I14" i="6"/>
  <c r="H21" i="6"/>
  <c r="H22" i="6"/>
  <c r="H18" i="6"/>
  <c r="G13" i="6"/>
  <c r="G14" i="6"/>
  <c r="G15" i="6"/>
  <c r="G16" i="6"/>
  <c r="G17" i="6"/>
  <c r="G18" i="6"/>
  <c r="G19" i="6"/>
  <c r="G20" i="6"/>
  <c r="G21" i="6"/>
  <c r="G22" i="6"/>
  <c r="G23" i="6"/>
  <c r="S21" i="3"/>
  <c r="S16" i="3"/>
  <c r="R11" i="3"/>
  <c r="R17" i="3"/>
  <c r="R18" i="3"/>
  <c r="R19" i="3"/>
  <c r="R20" i="3"/>
  <c r="R21" i="3"/>
  <c r="R12" i="3"/>
  <c r="R13" i="3"/>
  <c r="R14" i="3"/>
  <c r="R15" i="3"/>
  <c r="P19" i="3"/>
  <c r="P20" i="3"/>
  <c r="P21" i="3"/>
  <c r="P12" i="3"/>
  <c r="P13" i="3"/>
  <c r="P14" i="3"/>
  <c r="P15" i="3"/>
  <c r="P16" i="3"/>
  <c r="P17" i="3"/>
  <c r="P11" i="3"/>
  <c r="O20" i="3"/>
  <c r="O21" i="3"/>
  <c r="O12" i="3"/>
  <c r="O13" i="3"/>
  <c r="O14" i="3"/>
  <c r="O15" i="3"/>
  <c r="O16" i="3"/>
  <c r="O17" i="3"/>
  <c r="O18" i="3"/>
  <c r="O11" i="3"/>
  <c r="N11" i="3"/>
  <c r="N19" i="3"/>
  <c r="N20" i="3"/>
  <c r="N21" i="3"/>
  <c r="N12" i="3"/>
  <c r="N13" i="3"/>
  <c r="N14" i="3"/>
  <c r="N15" i="3"/>
  <c r="N16" i="3"/>
  <c r="N17" i="3"/>
  <c r="L11" i="3"/>
  <c r="G19" i="3"/>
  <c r="G21" i="3"/>
  <c r="G12" i="3"/>
  <c r="G13" i="3"/>
  <c r="G16" i="3"/>
  <c r="G11" i="3"/>
  <c r="L20" i="3"/>
  <c r="L21" i="3"/>
  <c r="L12" i="3"/>
  <c r="L13" i="3"/>
  <c r="L14" i="3"/>
  <c r="L15" i="3"/>
  <c r="L16" i="3"/>
  <c r="L17" i="3"/>
  <c r="L18" i="3"/>
  <c r="L19" i="3"/>
  <c r="F19" i="3"/>
  <c r="J17" i="3"/>
  <c r="J18" i="3"/>
  <c r="J19" i="3"/>
  <c r="J20" i="3"/>
  <c r="J21" i="3"/>
  <c r="J12" i="3"/>
  <c r="J13" i="3"/>
  <c r="J14" i="3"/>
  <c r="J15" i="3"/>
  <c r="J11" i="3"/>
  <c r="H14" i="3"/>
  <c r="H15" i="3"/>
  <c r="H16" i="3"/>
  <c r="H17" i="3"/>
  <c r="H18" i="3"/>
  <c r="H19" i="3"/>
  <c r="H20" i="3"/>
  <c r="H21" i="3"/>
  <c r="H12" i="3"/>
  <c r="H11" i="3"/>
  <c r="F20" i="3"/>
  <c r="F21" i="3"/>
  <c r="F13" i="3"/>
  <c r="F14" i="3"/>
  <c r="F15" i="3"/>
  <c r="F17" i="3"/>
  <c r="F18" i="3"/>
  <c r="C12" i="3"/>
  <c r="C13" i="3"/>
  <c r="C14" i="3"/>
  <c r="C15" i="3"/>
  <c r="C16" i="3"/>
  <c r="C17" i="3"/>
  <c r="C18" i="3"/>
  <c r="C19" i="3"/>
  <c r="C20" i="3"/>
  <c r="C21" i="3"/>
  <c r="C11" i="3"/>
  <c r="B12" i="3"/>
  <c r="B13" i="3"/>
  <c r="B14" i="3"/>
  <c r="B15" i="3"/>
  <c r="B16" i="3"/>
  <c r="B17" i="3"/>
  <c r="B18" i="3"/>
  <c r="B19" i="3"/>
  <c r="B20" i="3"/>
  <c r="B21" i="3"/>
  <c r="B11" i="3"/>
  <c r="H350" i="10"/>
  <c r="H259" i="10"/>
  <c r="H260" i="10"/>
  <c r="H261" i="10"/>
  <c r="H263" i="10"/>
  <c r="H264" i="10"/>
  <c r="H265" i="10"/>
  <c r="H258" i="10"/>
  <c r="H244" i="10"/>
  <c r="H245" i="10"/>
  <c r="H247" i="10"/>
  <c r="H248" i="10"/>
  <c r="H249" i="10"/>
  <c r="H250" i="10"/>
  <c r="H251" i="10"/>
  <c r="H252" i="10"/>
  <c r="H253" i="10"/>
  <c r="H243" i="10"/>
  <c r="H285" i="10"/>
  <c r="H286" i="10"/>
  <c r="H287" i="10"/>
  <c r="H288" i="10"/>
  <c r="H289" i="10"/>
  <c r="C253" i="10"/>
  <c r="C232" i="10"/>
  <c r="C231" i="10"/>
  <c r="T252" i="10"/>
  <c r="C215" i="10"/>
  <c r="C206" i="10"/>
  <c r="C207" i="10"/>
  <c r="C209" i="10"/>
  <c r="C210" i="10"/>
  <c r="C211" i="10"/>
  <c r="C212" i="10"/>
  <c r="C213" i="10"/>
  <c r="C214" i="10"/>
  <c r="T243" i="10"/>
  <c r="T244" i="10"/>
  <c r="T246" i="10"/>
  <c r="T247" i="10"/>
  <c r="T248" i="10"/>
  <c r="T249" i="10"/>
  <c r="T250" i="10"/>
  <c r="T251" i="10"/>
  <c r="T242" i="10"/>
  <c r="W143" i="10"/>
  <c r="AB144" i="10"/>
  <c r="Q145" i="10"/>
  <c r="AB146" i="10"/>
  <c r="AB147" i="10"/>
  <c r="Q144" i="10"/>
  <c r="H315" i="10"/>
  <c r="H316" i="10"/>
  <c r="H317" i="10"/>
  <c r="H318" i="10"/>
  <c r="H319" i="10"/>
  <c r="H320" i="10"/>
  <c r="H321" i="10"/>
  <c r="H323" i="10"/>
  <c r="H300" i="10"/>
  <c r="H301" i="10"/>
  <c r="H302" i="10"/>
  <c r="H303" i="10"/>
  <c r="H304" i="10"/>
  <c r="H305" i="10"/>
  <c r="H306" i="10"/>
  <c r="H284" i="10"/>
  <c r="H278" i="10"/>
  <c r="H273" i="10"/>
  <c r="H274" i="10"/>
  <c r="H275" i="10"/>
  <c r="H276" i="10"/>
  <c r="H277" i="10"/>
  <c r="H272" i="10"/>
  <c r="O292" i="10"/>
  <c r="O293" i="10"/>
  <c r="O294" i="10"/>
  <c r="O295" i="10"/>
  <c r="O296" i="10"/>
  <c r="O297" i="10"/>
  <c r="O298" i="10"/>
  <c r="O299" i="10"/>
  <c r="O300" i="10"/>
  <c r="O301" i="10"/>
  <c r="O291" i="10"/>
  <c r="M224" i="10"/>
  <c r="M225" i="10"/>
  <c r="M227" i="10"/>
  <c r="M228" i="10"/>
  <c r="M229" i="10"/>
  <c r="M230" i="10"/>
  <c r="M231" i="10"/>
  <c r="M232" i="10"/>
  <c r="M233" i="10"/>
  <c r="M234" i="10"/>
  <c r="M223" i="10"/>
  <c r="D102" i="10"/>
  <c r="D104" i="10"/>
  <c r="D105" i="10"/>
  <c r="D106" i="10"/>
  <c r="D110" i="10"/>
  <c r="AG14" i="35"/>
  <c r="AG15" i="35"/>
  <c r="AG16" i="35"/>
  <c r="AG17" i="35"/>
  <c r="AG18" i="35"/>
  <c r="AG19" i="35"/>
  <c r="AG20" i="35"/>
  <c r="AG21" i="35"/>
  <c r="AG22" i="35"/>
  <c r="AG23" i="35"/>
  <c r="AG24" i="35"/>
  <c r="AG25" i="35"/>
  <c r="AG13" i="35"/>
  <c r="Q231" i="10"/>
  <c r="Q230" i="10"/>
  <c r="Q229" i="10"/>
  <c r="Q225" i="10"/>
  <c r="Q232" i="10"/>
  <c r="Q224" i="10"/>
  <c r="Q228" i="10"/>
  <c r="Q227" i="10"/>
  <c r="Q226" i="10"/>
  <c r="Q223" i="10"/>
  <c r="Q222" i="10"/>
  <c r="AC184" i="10"/>
  <c r="F77" i="23" l="1"/>
  <c r="D112" i="42"/>
  <c r="G82" i="23"/>
  <c r="G98" i="23"/>
  <c r="G86" i="23"/>
  <c r="G102" i="23"/>
  <c r="G74" i="23"/>
  <c r="G94" i="23"/>
  <c r="G90" i="23"/>
  <c r="AB142" i="10"/>
  <c r="Q141" i="10"/>
  <c r="AB140" i="10"/>
  <c r="W140" i="10"/>
  <c r="AB139" i="10"/>
  <c r="W138" i="10"/>
  <c r="C139" i="10"/>
  <c r="Q143" i="10"/>
  <c r="AB143" i="10"/>
  <c r="D108" i="10"/>
  <c r="I107" i="10"/>
  <c r="D107" i="10"/>
  <c r="D109" i="10"/>
  <c r="D100" i="10"/>
  <c r="I100" i="10"/>
  <c r="D103" i="10"/>
  <c r="D101" i="10"/>
  <c r="Q140" i="10"/>
  <c r="I105" i="10"/>
  <c r="Q146" i="10"/>
  <c r="W144" i="10"/>
  <c r="Q142" i="10"/>
  <c r="Q147" i="10"/>
  <c r="W147" i="10"/>
  <c r="F81" i="23"/>
  <c r="W146" i="10"/>
  <c r="W141" i="10"/>
  <c r="AB141" i="10"/>
  <c r="W142" i="10"/>
  <c r="F93" i="23"/>
  <c r="F89" i="23"/>
  <c r="F85" i="23"/>
  <c r="F101" i="23"/>
  <c r="G78" i="23"/>
  <c r="E20" i="13"/>
  <c r="E23" i="13"/>
  <c r="E19" i="13"/>
  <c r="E21" i="13"/>
  <c r="E17" i="13"/>
  <c r="E22" i="13"/>
  <c r="E18" i="13"/>
  <c r="W145" i="10"/>
  <c r="AB145" i="10"/>
  <c r="Q138" i="10"/>
  <c r="AB138" i="10"/>
  <c r="Q139" i="10"/>
  <c r="W139" i="10"/>
  <c r="AB137" i="10"/>
  <c r="C144" i="10"/>
  <c r="C148" i="10"/>
  <c r="C140" i="10"/>
  <c r="W137" i="10"/>
  <c r="I101" i="10"/>
  <c r="C147" i="10"/>
  <c r="C143" i="10"/>
  <c r="C145" i="10"/>
  <c r="C141" i="10"/>
  <c r="C146" i="10"/>
  <c r="C142" i="10"/>
  <c r="C138" i="10"/>
  <c r="I109" i="10"/>
  <c r="I108" i="10"/>
  <c r="I103" i="10"/>
  <c r="I104" i="10"/>
  <c r="I110" i="10"/>
  <c r="I106" i="10"/>
  <c r="I102" i="10"/>
  <c r="I330" i="10"/>
  <c r="I331" i="10"/>
  <c r="I332" i="10"/>
  <c r="I333" i="10"/>
  <c r="I335" i="10"/>
  <c r="I336" i="10"/>
  <c r="I337" i="10"/>
  <c r="I338" i="10"/>
  <c r="I329" i="10"/>
  <c r="C224" i="10"/>
  <c r="C225" i="10"/>
  <c r="C226" i="10"/>
  <c r="C228" i="10"/>
  <c r="H329" i="10"/>
  <c r="H330" i="10"/>
  <c r="H331" i="10"/>
  <c r="H332" i="10"/>
  <c r="H333" i="10"/>
  <c r="H335" i="10"/>
  <c r="H336" i="10"/>
  <c r="H337" i="10"/>
  <c r="H338" i="10"/>
  <c r="H346" i="10"/>
  <c r="H347" i="10"/>
  <c r="H348" i="10"/>
  <c r="H349" i="10"/>
  <c r="H345" i="10"/>
  <c r="C223" i="10"/>
  <c r="I224" i="10"/>
  <c r="I225" i="10"/>
  <c r="I226" i="10"/>
  <c r="I227" i="10"/>
  <c r="I229" i="10"/>
  <c r="I230" i="10"/>
  <c r="I231" i="10"/>
  <c r="I232" i="10"/>
  <c r="D224" i="10"/>
  <c r="D225" i="10"/>
  <c r="D226" i="10"/>
  <c r="D227" i="10"/>
  <c r="D229" i="10"/>
  <c r="D230" i="10"/>
  <c r="D231" i="10"/>
  <c r="D232" i="10"/>
  <c r="D223" i="10"/>
  <c r="C240" i="10"/>
  <c r="C241" i="10"/>
  <c r="C242" i="10"/>
  <c r="C243" i="10"/>
  <c r="C244" i="10"/>
  <c r="C245" i="10"/>
  <c r="C239" i="10"/>
  <c r="N112" i="42" l="1"/>
  <c r="D22" i="42"/>
  <c r="C113" i="42"/>
  <c r="C149" i="42" s="1"/>
  <c r="P138" i="10"/>
  <c r="P139" i="10"/>
  <c r="P140" i="10"/>
  <c r="P141" i="10"/>
  <c r="P137" i="10"/>
  <c r="P143" i="10"/>
  <c r="P144" i="10"/>
  <c r="P145" i="10"/>
  <c r="P146" i="10"/>
  <c r="P147" i="10"/>
  <c r="D26" i="21" l="1"/>
  <c r="D113" i="42"/>
  <c r="E26" i="21" s="1"/>
  <c r="C181" i="42"/>
  <c r="M112" i="42"/>
  <c r="M113" i="42" s="1"/>
  <c r="D28" i="21" s="1"/>
  <c r="M149" i="42" l="1"/>
  <c r="N113" i="42"/>
  <c r="AA36" i="35"/>
  <c r="AD175" i="10" s="1"/>
  <c r="AA37" i="35"/>
  <c r="AD176" i="10" s="1"/>
  <c r="AA38" i="35"/>
  <c r="AD177" i="10" s="1"/>
  <c r="AA39" i="35"/>
  <c r="AD178" i="10" s="1"/>
  <c r="AA41" i="35"/>
  <c r="AD180" i="10" s="1"/>
  <c r="AA42" i="35"/>
  <c r="AD181" i="10" s="1"/>
  <c r="AA43" i="35"/>
  <c r="AD182" i="10" s="1"/>
  <c r="AA44" i="35"/>
  <c r="AD183" i="10" s="1"/>
  <c r="AA45" i="35"/>
  <c r="AD184" i="10" s="1"/>
  <c r="AA35" i="35"/>
  <c r="AD174" i="10" s="1"/>
  <c r="X36" i="35"/>
  <c r="X37" i="35"/>
  <c r="X38" i="35"/>
  <c r="X39" i="35"/>
  <c r="X41" i="35"/>
  <c r="X42" i="35"/>
  <c r="X43" i="35"/>
  <c r="X44" i="35"/>
  <c r="X45" i="35"/>
  <c r="X35" i="35"/>
  <c r="N146" i="10" l="1"/>
  <c r="N147" i="10"/>
  <c r="N148" i="10"/>
  <c r="M146" i="10"/>
  <c r="M147" i="10"/>
  <c r="M148" i="10"/>
  <c r="I146" i="10"/>
  <c r="H146" i="10"/>
  <c r="H147" i="10"/>
  <c r="H148" i="10"/>
  <c r="AI37" i="35" l="1"/>
  <c r="AI38" i="35"/>
  <c r="AI39" i="35"/>
  <c r="AI40" i="35"/>
  <c r="AI41" i="35"/>
  <c r="AI42" i="35"/>
  <c r="AI43" i="35"/>
  <c r="AI44" i="35"/>
  <c r="AI45" i="35"/>
  <c r="AI36" i="35"/>
  <c r="J94" i="23"/>
  <c r="J98" i="23"/>
  <c r="J102" i="23"/>
  <c r="D146" i="10"/>
  <c r="P38" i="35"/>
  <c r="P39" i="35"/>
  <c r="P40" i="35"/>
  <c r="P41" i="35"/>
  <c r="P42" i="35"/>
  <c r="P43" i="35"/>
  <c r="P44" i="35"/>
  <c r="P45" i="35"/>
  <c r="P37" i="35"/>
  <c r="P36" i="35"/>
  <c r="S161" i="10"/>
  <c r="S162" i="10"/>
  <c r="S163" i="10"/>
  <c r="S164" i="10"/>
  <c r="S160" i="10"/>
  <c r="F73" i="23"/>
  <c r="AD43" i="35" l="1"/>
  <c r="AE42" i="35"/>
  <c r="N127" i="42" s="1"/>
  <c r="C208" i="10"/>
  <c r="S44" i="35"/>
  <c r="S40" i="35"/>
  <c r="I147" i="10"/>
  <c r="D147" i="10"/>
  <c r="S41" i="35"/>
  <c r="S42" i="35"/>
  <c r="N18" i="3" s="1"/>
  <c r="S38" i="35"/>
  <c r="S36" i="35"/>
  <c r="S43" i="35"/>
  <c r="S39" i="35"/>
  <c r="I148" i="10"/>
  <c r="D148" i="10"/>
  <c r="S45" i="35"/>
  <c r="S37" i="35"/>
  <c r="R43" i="10" l="1"/>
  <c r="G18" i="3"/>
  <c r="H13" i="3"/>
  <c r="F12" i="3"/>
  <c r="G20" i="3"/>
  <c r="C227" i="10"/>
  <c r="G15" i="3"/>
  <c r="D228" i="10"/>
  <c r="J16" i="3"/>
  <c r="F16" i="3"/>
  <c r="G14" i="3"/>
  <c r="G17" i="3"/>
  <c r="J86" i="23"/>
  <c r="J82" i="23"/>
  <c r="J78" i="23"/>
  <c r="J74" i="23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A25" i="35"/>
  <c r="AA24" i="35"/>
  <c r="AA23" i="35"/>
  <c r="AA22" i="35"/>
  <c r="AA21" i="35"/>
  <c r="AA20" i="35"/>
  <c r="AA19" i="35"/>
  <c r="AA18" i="35"/>
  <c r="AA17" i="35"/>
  <c r="AA16" i="35"/>
  <c r="AA15" i="35"/>
  <c r="AA14" i="35"/>
  <c r="AA13" i="35"/>
  <c r="N18" i="13" l="1"/>
  <c r="N22" i="13"/>
  <c r="N16" i="13"/>
  <c r="N17" i="13"/>
  <c r="N21" i="13"/>
  <c r="N19" i="13"/>
  <c r="N23" i="13"/>
  <c r="N20" i="13"/>
  <c r="N24" i="13"/>
  <c r="M18" i="13"/>
  <c r="M22" i="13"/>
  <c r="M16" i="13"/>
  <c r="M24" i="13"/>
  <c r="M17" i="13"/>
  <c r="M21" i="13"/>
  <c r="M15" i="13"/>
  <c r="M19" i="13"/>
  <c r="M23" i="13"/>
  <c r="M20" i="13"/>
  <c r="M14" i="13"/>
  <c r="G7" i="32"/>
  <c r="D49" i="35"/>
  <c r="D28" i="35"/>
  <c r="I25" i="23"/>
  <c r="I29" i="23"/>
  <c r="I33" i="23"/>
  <c r="I37" i="23"/>
  <c r="I41" i="23"/>
  <c r="I45" i="23"/>
  <c r="I49" i="23"/>
  <c r="I53" i="23"/>
  <c r="E19" i="29"/>
  <c r="D4" i="29"/>
  <c r="AE54" i="42" l="1"/>
  <c r="V53" i="42"/>
  <c r="U54" i="42"/>
  <c r="Z54" i="42"/>
  <c r="M25" i="13"/>
  <c r="E16" i="35"/>
  <c r="E17" i="35"/>
  <c r="E18" i="35"/>
  <c r="E19" i="35"/>
  <c r="E20" i="35"/>
  <c r="E21" i="35"/>
  <c r="E22" i="35"/>
  <c r="E23" i="35"/>
  <c r="E24" i="35"/>
  <c r="E25" i="35"/>
  <c r="E15" i="35"/>
  <c r="E36" i="35"/>
  <c r="E37" i="35"/>
  <c r="E38" i="35"/>
  <c r="E39" i="35"/>
  <c r="C25" i="37" s="1"/>
  <c r="E40" i="35"/>
  <c r="C29" i="37" s="1"/>
  <c r="E41" i="35"/>
  <c r="C33" i="37" s="1"/>
  <c r="E42" i="35"/>
  <c r="E43" i="35"/>
  <c r="E44" i="35"/>
  <c r="E45" i="35"/>
  <c r="E35" i="35"/>
  <c r="E14" i="35"/>
  <c r="E13" i="35"/>
  <c r="P14" i="35"/>
  <c r="D26" i="35"/>
  <c r="B27" i="35" s="1"/>
  <c r="I123" i="10"/>
  <c r="D123" i="10"/>
  <c r="O46" i="29"/>
  <c r="N46" i="29"/>
  <c r="J46" i="29"/>
  <c r="I46" i="29"/>
  <c r="E46" i="29"/>
  <c r="Q49" i="10"/>
  <c r="Q50" i="10"/>
  <c r="D149" i="10"/>
  <c r="R91" i="10"/>
  <c r="R77" i="10"/>
  <c r="R78" i="10"/>
  <c r="R79" i="10"/>
  <c r="R80" i="10"/>
  <c r="R81" i="10"/>
  <c r="R82" i="10"/>
  <c r="R83" i="10"/>
  <c r="R76" i="10"/>
  <c r="R48" i="10"/>
  <c r="R41" i="10"/>
  <c r="R92" i="10"/>
  <c r="R93" i="10"/>
  <c r="R94" i="10"/>
  <c r="R95" i="10"/>
  <c r="R96" i="10"/>
  <c r="R97" i="10"/>
  <c r="R98" i="10"/>
  <c r="I150" i="10"/>
  <c r="I151" i="10"/>
  <c r="I152" i="10"/>
  <c r="I153" i="10"/>
  <c r="H150" i="10"/>
  <c r="H151" i="10"/>
  <c r="H152" i="10"/>
  <c r="H153" i="10"/>
  <c r="D150" i="10"/>
  <c r="D151" i="10"/>
  <c r="D152" i="10"/>
  <c r="D153" i="10"/>
  <c r="C150" i="10"/>
  <c r="C151" i="10"/>
  <c r="C152" i="10"/>
  <c r="C153" i="10"/>
  <c r="P41" i="10"/>
  <c r="R25" i="10"/>
  <c r="R26" i="10"/>
  <c r="R27" i="10"/>
  <c r="R28" i="10"/>
  <c r="R24" i="10"/>
  <c r="O47" i="29"/>
  <c r="O48" i="29"/>
  <c r="O49" i="29"/>
  <c r="O50" i="29"/>
  <c r="O51" i="29"/>
  <c r="N47" i="29"/>
  <c r="N48" i="29"/>
  <c r="N49" i="29"/>
  <c r="N50" i="29"/>
  <c r="N51" i="29"/>
  <c r="J47" i="29"/>
  <c r="J48" i="29"/>
  <c r="J49" i="29"/>
  <c r="J50" i="29"/>
  <c r="J51" i="29"/>
  <c r="I48" i="29"/>
  <c r="I49" i="29"/>
  <c r="I50" i="29"/>
  <c r="I51" i="29"/>
  <c r="D48" i="29"/>
  <c r="D49" i="29"/>
  <c r="D50" i="29"/>
  <c r="D51" i="29"/>
  <c r="E48" i="29"/>
  <c r="E49" i="29"/>
  <c r="E50" i="29"/>
  <c r="E51" i="29"/>
  <c r="M125" i="10"/>
  <c r="M126" i="10"/>
  <c r="M127" i="10"/>
  <c r="I125" i="10"/>
  <c r="I126" i="10"/>
  <c r="I127" i="10"/>
  <c r="H125" i="10"/>
  <c r="H126" i="10"/>
  <c r="H127" i="10"/>
  <c r="D125" i="10"/>
  <c r="D126" i="10"/>
  <c r="D127" i="10"/>
  <c r="P35" i="35"/>
  <c r="M123" i="10"/>
  <c r="M124" i="10"/>
  <c r="M150" i="10"/>
  <c r="M151" i="10"/>
  <c r="M152" i="10"/>
  <c r="M153" i="10"/>
  <c r="I124" i="10"/>
  <c r="C125" i="10"/>
  <c r="C126" i="10"/>
  <c r="C127" i="10"/>
  <c r="Q76" i="10"/>
  <c r="Q48" i="10"/>
  <c r="Q77" i="10"/>
  <c r="Q78" i="10"/>
  <c r="Q79" i="10"/>
  <c r="Q80" i="10"/>
  <c r="Q81" i="10"/>
  <c r="Q82" i="10"/>
  <c r="Q83" i="10"/>
  <c r="Q92" i="10"/>
  <c r="Q93" i="10"/>
  <c r="Q94" i="10"/>
  <c r="Q95" i="10"/>
  <c r="Q96" i="10"/>
  <c r="Q97" i="10"/>
  <c r="Q98" i="10"/>
  <c r="Q91" i="10"/>
  <c r="N150" i="10"/>
  <c r="N151" i="10"/>
  <c r="N152" i="10"/>
  <c r="N153" i="10"/>
  <c r="I47" i="29"/>
  <c r="E47" i="29"/>
  <c r="D47" i="29"/>
  <c r="O123" i="10"/>
  <c r="O124" i="10"/>
  <c r="O125" i="10"/>
  <c r="O126" i="10"/>
  <c r="O122" i="10"/>
  <c r="H124" i="10"/>
  <c r="D124" i="10"/>
  <c r="C124" i="10"/>
  <c r="R58" i="10" l="1"/>
  <c r="Q58" i="10"/>
  <c r="H231" i="10"/>
  <c r="C193" i="10"/>
  <c r="C189" i="10"/>
  <c r="H227" i="10"/>
  <c r="O251" i="10"/>
  <c r="O231" i="10"/>
  <c r="T231" i="10"/>
  <c r="O247" i="10"/>
  <c r="O227" i="10"/>
  <c r="T227" i="10"/>
  <c r="H230" i="10"/>
  <c r="C192" i="10"/>
  <c r="C21" i="37"/>
  <c r="H226" i="10"/>
  <c r="C188" i="10"/>
  <c r="O230" i="10"/>
  <c r="T230" i="10"/>
  <c r="O246" i="10"/>
  <c r="O226" i="10"/>
  <c r="T226" i="10"/>
  <c r="H229" i="10"/>
  <c r="C191" i="10"/>
  <c r="C17" i="37"/>
  <c r="H225" i="10"/>
  <c r="T233" i="10"/>
  <c r="O233" i="10"/>
  <c r="O249" i="10"/>
  <c r="T229" i="10"/>
  <c r="O229" i="10"/>
  <c r="T225" i="10"/>
  <c r="O225" i="10"/>
  <c r="H232" i="10"/>
  <c r="C194" i="10"/>
  <c r="H228" i="10"/>
  <c r="C190" i="10"/>
  <c r="C186" i="10"/>
  <c r="C13" i="37"/>
  <c r="O252" i="10"/>
  <c r="O232" i="10"/>
  <c r="T232" i="10"/>
  <c r="O248" i="10"/>
  <c r="O228" i="10"/>
  <c r="T228" i="10"/>
  <c r="O223" i="10"/>
  <c r="S14" i="35"/>
  <c r="I62" i="37"/>
  <c r="O245" i="10"/>
  <c r="O243" i="10"/>
  <c r="C9" i="37"/>
  <c r="B37" i="10"/>
  <c r="G37" i="10"/>
  <c r="F14" i="6"/>
  <c r="R14" i="35"/>
  <c r="H14" i="6"/>
  <c r="O282" i="10"/>
  <c r="O266" i="10"/>
  <c r="O285" i="10"/>
  <c r="O281" i="10"/>
  <c r="O265" i="10"/>
  <c r="O277" i="10"/>
  <c r="O261" i="10"/>
  <c r="O259" i="10"/>
  <c r="O275" i="10"/>
  <c r="O260" i="10"/>
  <c r="O276" i="10"/>
  <c r="O267" i="10"/>
  <c r="O263" i="10"/>
  <c r="O279" i="10"/>
  <c r="O278" i="10"/>
  <c r="O258" i="10"/>
  <c r="O242" i="10"/>
  <c r="O274" i="10"/>
  <c r="O284" i="10"/>
  <c r="O264" i="10"/>
  <c r="O280" i="10"/>
  <c r="C187" i="10"/>
  <c r="S35" i="35"/>
  <c r="Q101" i="10"/>
  <c r="Q103" i="10"/>
  <c r="Q102" i="10"/>
  <c r="R103" i="10"/>
  <c r="R84" i="10"/>
  <c r="R102" i="10"/>
  <c r="R99" i="10"/>
  <c r="Q99" i="10"/>
  <c r="Q84" i="10"/>
  <c r="N139" i="10"/>
  <c r="N140" i="10"/>
  <c r="N141" i="10"/>
  <c r="N142" i="10"/>
  <c r="N143" i="10"/>
  <c r="N144" i="10"/>
  <c r="N145" i="10"/>
  <c r="N138" i="10"/>
  <c r="M139" i="10"/>
  <c r="M140" i="10"/>
  <c r="M141" i="10"/>
  <c r="M142" i="10"/>
  <c r="M143" i="10"/>
  <c r="M144" i="10"/>
  <c r="M145" i="10"/>
  <c r="M138" i="10"/>
  <c r="I139" i="10"/>
  <c r="I138" i="10"/>
  <c r="H139" i="10"/>
  <c r="H140" i="10"/>
  <c r="H141" i="10"/>
  <c r="H142" i="10"/>
  <c r="H138" i="10"/>
  <c r="D141" i="10"/>
  <c r="D143" i="10"/>
  <c r="D144" i="10"/>
  <c r="D145" i="10"/>
  <c r="C73" i="10"/>
  <c r="C71" i="10"/>
  <c r="C48" i="10"/>
  <c r="C49" i="10"/>
  <c r="C50" i="10"/>
  <c r="C51" i="10"/>
  <c r="C39" i="10"/>
  <c r="O38" i="29"/>
  <c r="O39" i="29"/>
  <c r="O40" i="29"/>
  <c r="O41" i="29"/>
  <c r="O42" i="29"/>
  <c r="O43" i="29"/>
  <c r="O44" i="29"/>
  <c r="O45" i="29"/>
  <c r="O37" i="29"/>
  <c r="N38" i="29"/>
  <c r="N39" i="29"/>
  <c r="N40" i="29"/>
  <c r="N41" i="29"/>
  <c r="N42" i="29"/>
  <c r="N43" i="29"/>
  <c r="N44" i="29"/>
  <c r="N45" i="29"/>
  <c r="N37" i="29"/>
  <c r="J38" i="29"/>
  <c r="J39" i="29"/>
  <c r="J40" i="29"/>
  <c r="J41" i="29"/>
  <c r="J42" i="29"/>
  <c r="J43" i="29"/>
  <c r="J44" i="29"/>
  <c r="J45" i="29"/>
  <c r="J37" i="29"/>
  <c r="I38" i="29"/>
  <c r="I39" i="29"/>
  <c r="I40" i="29"/>
  <c r="I41" i="29"/>
  <c r="I37" i="29"/>
  <c r="E38" i="29"/>
  <c r="E39" i="29"/>
  <c r="E40" i="29"/>
  <c r="E41" i="29"/>
  <c r="E42" i="29"/>
  <c r="E43" i="29"/>
  <c r="E44" i="29"/>
  <c r="E45" i="29"/>
  <c r="E37" i="29"/>
  <c r="D40" i="29"/>
  <c r="D41" i="29"/>
  <c r="D42" i="29"/>
  <c r="D43" i="29"/>
  <c r="D44" i="29"/>
  <c r="D45" i="29"/>
  <c r="O21" i="29"/>
  <c r="O22" i="29"/>
  <c r="O23" i="29"/>
  <c r="O24" i="29"/>
  <c r="O25" i="29"/>
  <c r="O26" i="29"/>
  <c r="O27" i="29"/>
  <c r="O28" i="29"/>
  <c r="O29" i="29"/>
  <c r="O20" i="29"/>
  <c r="N21" i="29"/>
  <c r="N22" i="29"/>
  <c r="N23" i="29"/>
  <c r="N24" i="29"/>
  <c r="N25" i="29"/>
  <c r="N26" i="29"/>
  <c r="N27" i="29"/>
  <c r="N28" i="29"/>
  <c r="N29" i="29"/>
  <c r="N20" i="29"/>
  <c r="J28" i="29"/>
  <c r="I21" i="29"/>
  <c r="I22" i="29"/>
  <c r="I23" i="29"/>
  <c r="I24" i="29"/>
  <c r="I25" i="29"/>
  <c r="I26" i="29"/>
  <c r="I27" i="29"/>
  <c r="I28" i="29"/>
  <c r="I29" i="29"/>
  <c r="I20" i="29"/>
  <c r="O6" i="29"/>
  <c r="O7" i="29"/>
  <c r="O8" i="29"/>
  <c r="O9" i="29"/>
  <c r="O10" i="29"/>
  <c r="O11" i="29"/>
  <c r="O12" i="29"/>
  <c r="O13" i="29"/>
  <c r="O5" i="29"/>
  <c r="N6" i="29"/>
  <c r="N8" i="29"/>
  <c r="N9" i="29"/>
  <c r="N10" i="29"/>
  <c r="N11" i="29"/>
  <c r="N12" i="29"/>
  <c r="N13" i="29"/>
  <c r="N5" i="29"/>
  <c r="J6" i="29"/>
  <c r="J7" i="29"/>
  <c r="J8" i="29"/>
  <c r="J9" i="29"/>
  <c r="J5" i="29"/>
  <c r="I7" i="29"/>
  <c r="I8" i="29"/>
  <c r="I9" i="29"/>
  <c r="I5" i="29"/>
  <c r="E8" i="29"/>
  <c r="E9" i="29"/>
  <c r="E10" i="29"/>
  <c r="E11" i="29"/>
  <c r="E12" i="29"/>
  <c r="E13" i="29"/>
  <c r="F18" i="23"/>
  <c r="F22" i="23"/>
  <c r="F26" i="23"/>
  <c r="F30" i="23"/>
  <c r="F34" i="23"/>
  <c r="F38" i="23"/>
  <c r="F42" i="23"/>
  <c r="F46" i="23"/>
  <c r="F50" i="23"/>
  <c r="F54" i="23"/>
  <c r="F14" i="23"/>
  <c r="B60" i="37"/>
  <c r="B64" i="37"/>
  <c r="B68" i="37"/>
  <c r="B72" i="37"/>
  <c r="B76" i="37"/>
  <c r="B80" i="37"/>
  <c r="B84" i="37"/>
  <c r="B88" i="37"/>
  <c r="B92" i="37"/>
  <c r="B96" i="37"/>
  <c r="B100" i="37"/>
  <c r="F64" i="37"/>
  <c r="F68" i="37"/>
  <c r="F72" i="37"/>
  <c r="F76" i="37"/>
  <c r="F80" i="37"/>
  <c r="F84" i="37"/>
  <c r="F88" i="37"/>
  <c r="F92" i="37"/>
  <c r="F96" i="37"/>
  <c r="F100" i="37"/>
  <c r="F60" i="37"/>
  <c r="F12" i="37"/>
  <c r="C185" i="10" l="1"/>
  <c r="C47" i="10"/>
  <c r="F11" i="3"/>
  <c r="F12" i="13"/>
  <c r="S103" i="10"/>
  <c r="Q104" i="10"/>
  <c r="S102" i="10"/>
  <c r="C249" i="10"/>
  <c r="C250" i="10"/>
  <c r="C251" i="10"/>
  <c r="C252" i="10"/>
  <c r="C248" i="10"/>
  <c r="S233" i="10"/>
  <c r="S223" i="10"/>
  <c r="S224" i="10"/>
  <c r="S226" i="10"/>
  <c r="S227" i="10"/>
  <c r="S228" i="10"/>
  <c r="S229" i="10"/>
  <c r="S230" i="10"/>
  <c r="S231" i="10"/>
  <c r="S232" i="10"/>
  <c r="AM46" i="35"/>
  <c r="AM48" i="35" l="1"/>
  <c r="AJ28" i="35"/>
  <c r="H88" i="23"/>
  <c r="H80" i="23"/>
  <c r="H84" i="23"/>
  <c r="H92" i="23"/>
  <c r="H96" i="23"/>
  <c r="H100" i="23"/>
  <c r="H104" i="23"/>
  <c r="H76" i="23"/>
  <c r="H19" i="23"/>
  <c r="H23" i="23"/>
  <c r="H27" i="23"/>
  <c r="H31" i="23"/>
  <c r="H35" i="23"/>
  <c r="H39" i="23"/>
  <c r="H43" i="23"/>
  <c r="H47" i="23"/>
  <c r="H51" i="23"/>
  <c r="H55" i="23"/>
  <c r="H15" i="23"/>
  <c r="J90" i="23"/>
  <c r="I142" i="10" l="1"/>
  <c r="I140" i="10"/>
  <c r="D138" i="10"/>
  <c r="I141" i="10"/>
  <c r="I144" i="10"/>
  <c r="I145" i="10"/>
  <c r="D142" i="10"/>
  <c r="I143" i="10"/>
  <c r="D139" i="10"/>
  <c r="D140" i="10"/>
  <c r="D155" i="10" l="1"/>
  <c r="F61" i="37"/>
  <c r="B12" i="37" l="1"/>
  <c r="B16" i="37"/>
  <c r="B20" i="37"/>
  <c r="B28" i="37"/>
  <c r="B36" i="37"/>
  <c r="H100" i="37"/>
  <c r="D46" i="35" l="1"/>
  <c r="B47" i="35" s="1"/>
  <c r="AC45" i="35"/>
  <c r="U45" i="35"/>
  <c r="V45" i="35" s="1"/>
  <c r="AB45" i="35" s="1"/>
  <c r="AC44" i="35"/>
  <c r="U44" i="35"/>
  <c r="V44" i="35" s="1"/>
  <c r="AB44" i="35" s="1"/>
  <c r="AC43" i="35"/>
  <c r="U43" i="35"/>
  <c r="V43" i="35" s="1"/>
  <c r="AB43" i="35" s="1"/>
  <c r="AC145" i="10" s="1"/>
  <c r="AC42" i="35"/>
  <c r="U42" i="35"/>
  <c r="V42" i="35" s="1"/>
  <c r="AB42" i="35" s="1"/>
  <c r="AC144" i="10" s="1"/>
  <c r="AC41" i="35"/>
  <c r="U41" i="35"/>
  <c r="V41" i="35" s="1"/>
  <c r="AB41" i="35" s="1"/>
  <c r="AC143" i="10" s="1"/>
  <c r="U40" i="35"/>
  <c r="V40" i="35" s="1"/>
  <c r="Z40" i="35" s="1"/>
  <c r="AC39" i="35"/>
  <c r="U39" i="35"/>
  <c r="AC38" i="35"/>
  <c r="U38" i="35"/>
  <c r="V38" i="35" s="1"/>
  <c r="AC37" i="35"/>
  <c r="U37" i="35"/>
  <c r="V37" i="35" s="1"/>
  <c r="AC36" i="35"/>
  <c r="U36" i="35"/>
  <c r="W36" i="35" s="1"/>
  <c r="AC35" i="35"/>
  <c r="I223" i="10"/>
  <c r="U35" i="35"/>
  <c r="AF26" i="35"/>
  <c r="AE28" i="35" s="1"/>
  <c r="AA26" i="35"/>
  <c r="K26" i="35"/>
  <c r="Z25" i="35"/>
  <c r="X25" i="35"/>
  <c r="T25" i="35"/>
  <c r="P25" i="35"/>
  <c r="R25" i="35" s="1"/>
  <c r="Z24" i="35"/>
  <c r="X24" i="35"/>
  <c r="T24" i="35"/>
  <c r="X185" i="10" s="1"/>
  <c r="P24" i="35"/>
  <c r="R24" i="35" s="1"/>
  <c r="Z23" i="35"/>
  <c r="J54" i="23" s="1"/>
  <c r="X23" i="35"/>
  <c r="T23" i="35"/>
  <c r="X184" i="10" s="1"/>
  <c r="P23" i="35"/>
  <c r="Z22" i="35"/>
  <c r="J50" i="23" s="1"/>
  <c r="X22" i="35"/>
  <c r="T22" i="35"/>
  <c r="X183" i="10" s="1"/>
  <c r="P22" i="35"/>
  <c r="Z21" i="35"/>
  <c r="J46" i="23" s="1"/>
  <c r="X21" i="35"/>
  <c r="T21" i="35"/>
  <c r="X182" i="10" s="1"/>
  <c r="P21" i="35"/>
  <c r="Z20" i="35"/>
  <c r="J42" i="23" s="1"/>
  <c r="X20" i="35"/>
  <c r="T20" i="35"/>
  <c r="X181" i="10" s="1"/>
  <c r="P20" i="35"/>
  <c r="Z19" i="35"/>
  <c r="J38" i="23" s="1"/>
  <c r="X19" i="35"/>
  <c r="T19" i="35"/>
  <c r="X180" i="10" s="1"/>
  <c r="P19" i="35"/>
  <c r="X18" i="35"/>
  <c r="T18" i="35"/>
  <c r="X179" i="10" s="1"/>
  <c r="P18" i="35"/>
  <c r="R18" i="35" s="1"/>
  <c r="F18" i="13"/>
  <c r="X17" i="35"/>
  <c r="T17" i="35"/>
  <c r="X178" i="10" s="1"/>
  <c r="P17" i="35"/>
  <c r="P16" i="35"/>
  <c r="R16" i="35" s="1"/>
  <c r="I21" i="23"/>
  <c r="X15" i="35"/>
  <c r="T15" i="35"/>
  <c r="X176" i="10" s="1"/>
  <c r="P15" i="35"/>
  <c r="I17" i="23"/>
  <c r="X14" i="35"/>
  <c r="T14" i="35"/>
  <c r="X175" i="10" s="1"/>
  <c r="I13" i="23"/>
  <c r="T13" i="35"/>
  <c r="X174" i="10" s="1"/>
  <c r="P13" i="35"/>
  <c r="AF48" i="42" l="1"/>
  <c r="AF52" i="42"/>
  <c r="AF49" i="42"/>
  <c r="AF51" i="42"/>
  <c r="AF44" i="35"/>
  <c r="M82" i="23" s="1"/>
  <c r="AF50" i="42"/>
  <c r="AF43" i="35"/>
  <c r="M81" i="23" s="1"/>
  <c r="R17" i="35"/>
  <c r="F17" i="6"/>
  <c r="R19" i="35"/>
  <c r="F19" i="6"/>
  <c r="R20" i="35"/>
  <c r="F20" i="6"/>
  <c r="R21" i="35"/>
  <c r="F21" i="6"/>
  <c r="R22" i="35"/>
  <c r="F22" i="6"/>
  <c r="R23" i="35"/>
  <c r="F23" i="6"/>
  <c r="V35" i="35"/>
  <c r="W35" i="35"/>
  <c r="F13" i="6"/>
  <c r="O222" i="10"/>
  <c r="L73" i="37"/>
  <c r="O224" i="10"/>
  <c r="S15" i="35"/>
  <c r="H15" i="6"/>
  <c r="S13" i="35"/>
  <c r="N22" i="42" s="1"/>
  <c r="R13" i="35"/>
  <c r="R15" i="35"/>
  <c r="AK28" i="35"/>
  <c r="AI28" i="35"/>
  <c r="W38" i="35"/>
  <c r="H17" i="6"/>
  <c r="W37" i="35"/>
  <c r="F16" i="6"/>
  <c r="V36" i="35"/>
  <c r="AB36" i="35" s="1"/>
  <c r="I70" i="37"/>
  <c r="H16" i="6"/>
  <c r="F15" i="6"/>
  <c r="V39" i="35"/>
  <c r="AB39" i="35" s="1"/>
  <c r="AC141" i="10" s="1"/>
  <c r="I58" i="37"/>
  <c r="H13" i="6"/>
  <c r="O262" i="10"/>
  <c r="I74" i="37"/>
  <c r="J17" i="6"/>
  <c r="I78" i="37"/>
  <c r="F18" i="6"/>
  <c r="I82" i="37"/>
  <c r="H19" i="6"/>
  <c r="I86" i="37"/>
  <c r="H20" i="6"/>
  <c r="I90" i="37"/>
  <c r="I21" i="6"/>
  <c r="O250" i="10"/>
  <c r="I66" i="37"/>
  <c r="I15" i="6"/>
  <c r="O244" i="10"/>
  <c r="I98" i="37"/>
  <c r="H23" i="6"/>
  <c r="M226" i="10"/>
  <c r="M16" i="6"/>
  <c r="O283" i="10"/>
  <c r="I94" i="37"/>
  <c r="K22" i="6"/>
  <c r="X13" i="35"/>
  <c r="V25" i="35"/>
  <c r="Y25" i="35" s="1"/>
  <c r="T16" i="35"/>
  <c r="O19" i="3"/>
  <c r="X40" i="35"/>
  <c r="AA40" i="35"/>
  <c r="AA46" i="35" s="1"/>
  <c r="C74" i="10"/>
  <c r="I44" i="29"/>
  <c r="H145" i="10"/>
  <c r="J12" i="29"/>
  <c r="F21" i="13"/>
  <c r="F40" i="23"/>
  <c r="G41" i="23"/>
  <c r="J13" i="29"/>
  <c r="I45" i="29"/>
  <c r="F22" i="13"/>
  <c r="F44" i="23"/>
  <c r="G45" i="23"/>
  <c r="F23" i="13"/>
  <c r="F48" i="23"/>
  <c r="G49" i="23"/>
  <c r="F24" i="13"/>
  <c r="F52" i="23"/>
  <c r="G53" i="23"/>
  <c r="H37" i="37"/>
  <c r="Z44" i="35"/>
  <c r="S20" i="3" s="1"/>
  <c r="H29" i="37"/>
  <c r="P46" i="35"/>
  <c r="J11" i="29"/>
  <c r="H144" i="10"/>
  <c r="I43" i="29"/>
  <c r="F20" i="13"/>
  <c r="F36" i="23"/>
  <c r="G37" i="23"/>
  <c r="D38" i="29"/>
  <c r="E6" i="29"/>
  <c r="F15" i="13"/>
  <c r="D39" i="29"/>
  <c r="E7" i="29"/>
  <c r="F16" i="13"/>
  <c r="H143" i="10"/>
  <c r="J10" i="29"/>
  <c r="I42" i="29"/>
  <c r="F19" i="13"/>
  <c r="D37" i="29"/>
  <c r="E5" i="29"/>
  <c r="F14" i="13"/>
  <c r="Z42" i="35"/>
  <c r="H17" i="37"/>
  <c r="F32" i="23"/>
  <c r="G33" i="23"/>
  <c r="F16" i="23"/>
  <c r="G17" i="23"/>
  <c r="F20" i="23"/>
  <c r="G21" i="23"/>
  <c r="F28" i="23"/>
  <c r="G29" i="23"/>
  <c r="F12" i="23"/>
  <c r="G13" i="23"/>
  <c r="S222" i="10"/>
  <c r="W25" i="35"/>
  <c r="H21" i="37"/>
  <c r="P26" i="35"/>
  <c r="V13" i="42" l="1"/>
  <c r="D65" i="42"/>
  <c r="AF46" i="42"/>
  <c r="AF43" i="42"/>
  <c r="AC138" i="10"/>
  <c r="N23" i="42"/>
  <c r="M23" i="42"/>
  <c r="R138" i="10"/>
  <c r="X138" i="10"/>
  <c r="AB35" i="35"/>
  <c r="AA42" i="42" s="1"/>
  <c r="AF36" i="35"/>
  <c r="I79" i="23" s="1"/>
  <c r="N15" i="13"/>
  <c r="AB38" i="35"/>
  <c r="AF15" i="42" s="1"/>
  <c r="E12" i="3"/>
  <c r="AB37" i="35"/>
  <c r="E15" i="3"/>
  <c r="Z39" i="35"/>
  <c r="H26" i="37" s="1"/>
  <c r="R16" i="3"/>
  <c r="AB40" i="35"/>
  <c r="AC142" i="10" s="1"/>
  <c r="V16" i="35"/>
  <c r="I102" i="37"/>
  <c r="K12" i="32" s="1"/>
  <c r="T245" i="10"/>
  <c r="T253" i="10" s="1"/>
  <c r="O16" i="6"/>
  <c r="H262" i="10"/>
  <c r="P18" i="3"/>
  <c r="T26" i="35"/>
  <c r="AC181" i="10"/>
  <c r="S18" i="3"/>
  <c r="X16" i="35"/>
  <c r="E16" i="6" s="1"/>
  <c r="X177" i="10"/>
  <c r="X186" i="10" s="1"/>
  <c r="J21" i="29"/>
  <c r="V17" i="35"/>
  <c r="AC183" i="10"/>
  <c r="H322" i="10"/>
  <c r="AE46" i="35"/>
  <c r="V18" i="35"/>
  <c r="AD179" i="10"/>
  <c r="AD186" i="10" s="1"/>
  <c r="I334" i="10"/>
  <c r="AD46" i="35"/>
  <c r="AK225" i="42" s="1"/>
  <c r="E19" i="3"/>
  <c r="V13" i="35"/>
  <c r="W23" i="35"/>
  <c r="I99" i="37" s="1"/>
  <c r="V23" i="35"/>
  <c r="W19" i="35"/>
  <c r="I83" i="37" s="1"/>
  <c r="V19" i="35"/>
  <c r="W14" i="35"/>
  <c r="V14" i="35"/>
  <c r="V15" i="35"/>
  <c r="W20" i="35"/>
  <c r="I87" i="37" s="1"/>
  <c r="V20" i="35"/>
  <c r="W24" i="35"/>
  <c r="Y185" i="10" s="1"/>
  <c r="V24" i="35"/>
  <c r="Y24" i="35" s="1"/>
  <c r="W21" i="35"/>
  <c r="I91" i="37" s="1"/>
  <c r="V21" i="35"/>
  <c r="W22" i="35"/>
  <c r="I95" i="37" s="1"/>
  <c r="V22" i="35"/>
  <c r="S225" i="10"/>
  <c r="X46" i="35"/>
  <c r="AK224" i="42" s="1"/>
  <c r="I228" i="10"/>
  <c r="AC40" i="35"/>
  <c r="E16" i="3" s="1"/>
  <c r="C180" i="10"/>
  <c r="W18" i="35"/>
  <c r="I79" i="37" s="1"/>
  <c r="Z41" i="35"/>
  <c r="E20" i="3"/>
  <c r="AC179" i="10"/>
  <c r="Z37" i="35"/>
  <c r="H169" i="42" s="1"/>
  <c r="W16" i="35"/>
  <c r="Z43" i="35"/>
  <c r="S19" i="3" s="1"/>
  <c r="W17" i="35"/>
  <c r="H38" i="37"/>
  <c r="H25" i="37"/>
  <c r="H33" i="37"/>
  <c r="H13" i="37"/>
  <c r="C38" i="10"/>
  <c r="Z38" i="35"/>
  <c r="Z36" i="35"/>
  <c r="C72" i="10"/>
  <c r="S46" i="35"/>
  <c r="V46" i="35"/>
  <c r="W46" i="35"/>
  <c r="Z35" i="35"/>
  <c r="C37" i="10"/>
  <c r="H9" i="37"/>
  <c r="W15" i="35"/>
  <c r="T224" i="10" s="1"/>
  <c r="S26" i="35"/>
  <c r="R26" i="35"/>
  <c r="W13" i="35"/>
  <c r="H168" i="42" l="1"/>
  <c r="H82" i="10"/>
  <c r="H90" i="10" s="1"/>
  <c r="H91" i="10" s="1"/>
  <c r="V14" i="42"/>
  <c r="D66" i="42"/>
  <c r="N67" i="42"/>
  <c r="AF24" i="42"/>
  <c r="H170" i="42"/>
  <c r="H299" i="10"/>
  <c r="V12" i="42"/>
  <c r="D64" i="42"/>
  <c r="AF45" i="42"/>
  <c r="AF44" i="42"/>
  <c r="R101" i="10"/>
  <c r="S101" i="10" s="1"/>
  <c r="AF42" i="42"/>
  <c r="AF47" i="42"/>
  <c r="R139" i="10"/>
  <c r="I76" i="42"/>
  <c r="X137" i="10"/>
  <c r="X148" i="10" s="1"/>
  <c r="AC137" i="10"/>
  <c r="AF40" i="35"/>
  <c r="I95" i="23" s="1"/>
  <c r="H167" i="42"/>
  <c r="H184" i="42"/>
  <c r="H71" i="10"/>
  <c r="H313" i="10"/>
  <c r="C103" i="10"/>
  <c r="C105" i="10"/>
  <c r="Z18" i="35"/>
  <c r="C104" i="10"/>
  <c r="C102" i="10"/>
  <c r="C109" i="10"/>
  <c r="C108" i="10"/>
  <c r="C107" i="10"/>
  <c r="C106" i="10"/>
  <c r="R137" i="10"/>
  <c r="H224" i="10"/>
  <c r="H185" i="42"/>
  <c r="H72" i="10"/>
  <c r="H314" i="10"/>
  <c r="N131" i="42"/>
  <c r="N144" i="42" s="1"/>
  <c r="AK226" i="42"/>
  <c r="C101" i="10"/>
  <c r="C100" i="10"/>
  <c r="AJ248" i="10"/>
  <c r="AL236" i="42"/>
  <c r="C110" i="10"/>
  <c r="E24" i="13"/>
  <c r="H47" i="10"/>
  <c r="H51" i="10" s="1"/>
  <c r="H296" i="10"/>
  <c r="Z17" i="35"/>
  <c r="AF38" i="35"/>
  <c r="I87" i="23" s="1"/>
  <c r="I59" i="37"/>
  <c r="T222" i="10"/>
  <c r="H58" i="10"/>
  <c r="H62" i="10" s="1"/>
  <c r="H63" i="10" s="1"/>
  <c r="H223" i="10"/>
  <c r="E16" i="13"/>
  <c r="D10" i="29"/>
  <c r="D9" i="29"/>
  <c r="E15" i="13"/>
  <c r="E23" i="29"/>
  <c r="I63" i="37"/>
  <c r="T223" i="10"/>
  <c r="S13" i="3"/>
  <c r="H297" i="10"/>
  <c r="H10" i="37"/>
  <c r="AC178" i="10"/>
  <c r="S15" i="3"/>
  <c r="E13" i="3"/>
  <c r="E14" i="3"/>
  <c r="I71" i="37"/>
  <c r="Y16" i="35"/>
  <c r="H72" i="37"/>
  <c r="I67" i="37"/>
  <c r="I75" i="37"/>
  <c r="E28" i="29"/>
  <c r="H43" i="37"/>
  <c r="J7" i="32" s="1"/>
  <c r="E14" i="13"/>
  <c r="E11" i="3"/>
  <c r="N14" i="13"/>
  <c r="Y179" i="10"/>
  <c r="N18" i="6"/>
  <c r="Y180" i="10"/>
  <c r="N19" i="6"/>
  <c r="Y181" i="10"/>
  <c r="N20" i="6"/>
  <c r="Y175" i="10"/>
  <c r="N14" i="6"/>
  <c r="Y184" i="10"/>
  <c r="N23" i="6"/>
  <c r="Y174" i="10"/>
  <c r="N13" i="6"/>
  <c r="AC175" i="10"/>
  <c r="S12" i="3"/>
  <c r="H246" i="10"/>
  <c r="S14" i="3"/>
  <c r="E18" i="3"/>
  <c r="E17" i="3"/>
  <c r="AC174" i="10"/>
  <c r="S11" i="3"/>
  <c r="S17" i="3"/>
  <c r="X26" i="35"/>
  <c r="W48" i="35"/>
  <c r="AI236" i="10"/>
  <c r="AC191" i="10"/>
  <c r="AI238" i="10"/>
  <c r="AC190" i="10"/>
  <c r="AI237" i="10"/>
  <c r="Y17" i="35"/>
  <c r="Y178" i="10"/>
  <c r="Y177" i="10"/>
  <c r="Y183" i="10"/>
  <c r="I6" i="29"/>
  <c r="N7" i="29"/>
  <c r="Y182" i="10"/>
  <c r="Y176" i="10"/>
  <c r="AC182" i="10"/>
  <c r="AC177" i="10"/>
  <c r="AC176" i="10"/>
  <c r="H298" i="10"/>
  <c r="AC180" i="10"/>
  <c r="Y18" i="35"/>
  <c r="Y20" i="35"/>
  <c r="D12" i="29"/>
  <c r="Y19" i="35"/>
  <c r="D11" i="29"/>
  <c r="D13" i="29"/>
  <c r="Y14" i="35"/>
  <c r="C37" i="42" s="1"/>
  <c r="C47" i="42" s="1"/>
  <c r="Y15" i="35"/>
  <c r="Y23" i="35"/>
  <c r="Y22" i="35"/>
  <c r="Y21" i="35"/>
  <c r="AC46" i="35"/>
  <c r="P142" i="10"/>
  <c r="AF41" i="35"/>
  <c r="I99" i="23" s="1"/>
  <c r="H34" i="37"/>
  <c r="E29" i="29"/>
  <c r="E27" i="29"/>
  <c r="AF39" i="35"/>
  <c r="I91" i="23" s="1"/>
  <c r="E22" i="29"/>
  <c r="AF45" i="35"/>
  <c r="M83" i="23" s="1"/>
  <c r="AF42" i="35"/>
  <c r="I103" i="23" s="1"/>
  <c r="J29" i="29"/>
  <c r="E25" i="29"/>
  <c r="E26" i="29"/>
  <c r="I23" i="37"/>
  <c r="Z16" i="35"/>
  <c r="D8" i="29"/>
  <c r="H30" i="37"/>
  <c r="J23" i="29"/>
  <c r="H18" i="37"/>
  <c r="J27" i="29"/>
  <c r="I39" i="37"/>
  <c r="AF37" i="35"/>
  <c r="I83" i="23" s="1"/>
  <c r="I27" i="37"/>
  <c r="H22" i="37"/>
  <c r="E24" i="29"/>
  <c r="I31" i="37"/>
  <c r="J25" i="29"/>
  <c r="H14" i="37"/>
  <c r="J22" i="29"/>
  <c r="J24" i="29"/>
  <c r="I35" i="37"/>
  <c r="J26" i="29"/>
  <c r="I19" i="37"/>
  <c r="J20" i="29"/>
  <c r="U48" i="35"/>
  <c r="E21" i="29"/>
  <c r="I15" i="37"/>
  <c r="Z46" i="35"/>
  <c r="AL235" i="42" s="1"/>
  <c r="I11" i="37"/>
  <c r="AF35" i="35"/>
  <c r="I75" i="23" s="1"/>
  <c r="E20" i="29"/>
  <c r="AB46" i="35"/>
  <c r="D5" i="29"/>
  <c r="I10" i="29"/>
  <c r="I11" i="29"/>
  <c r="D6" i="29"/>
  <c r="I12" i="29"/>
  <c r="I13" i="29"/>
  <c r="H68" i="37"/>
  <c r="D7" i="29"/>
  <c r="P28" i="35"/>
  <c r="H80" i="37"/>
  <c r="H92" i="37"/>
  <c r="H84" i="37"/>
  <c r="H64" i="37"/>
  <c r="H88" i="37"/>
  <c r="H99" i="37"/>
  <c r="H76" i="37"/>
  <c r="H96" i="37"/>
  <c r="H60" i="37"/>
  <c r="W26" i="35"/>
  <c r="Z13" i="35"/>
  <c r="V26" i="35"/>
  <c r="Y13" i="35"/>
  <c r="C11" i="42" s="1"/>
  <c r="Z15" i="35"/>
  <c r="Z14" i="35"/>
  <c r="D76" i="42" l="1"/>
  <c r="C77" i="42" s="1"/>
  <c r="H77" i="42"/>
  <c r="I77" i="42"/>
  <c r="AF25" i="42"/>
  <c r="AE25" i="42"/>
  <c r="R104" i="10"/>
  <c r="T109" i="10" s="1"/>
  <c r="R59" i="10"/>
  <c r="J101" i="22" s="1"/>
  <c r="Q59" i="10"/>
  <c r="N76" i="42"/>
  <c r="AC148" i="10"/>
  <c r="J22" i="23"/>
  <c r="J18" i="23"/>
  <c r="J14" i="23"/>
  <c r="J34" i="23"/>
  <c r="J26" i="23"/>
  <c r="J30" i="23"/>
  <c r="H75" i="10"/>
  <c r="H76" i="10" s="1"/>
  <c r="N145" i="42"/>
  <c r="M145" i="42"/>
  <c r="M153" i="42" s="1"/>
  <c r="M157" i="42" s="1"/>
  <c r="J61" i="22" s="1"/>
  <c r="C22" i="42"/>
  <c r="C23" i="42" s="1"/>
  <c r="J51" i="22" s="1"/>
  <c r="C48" i="42"/>
  <c r="D48" i="42"/>
  <c r="E21" i="21" s="1"/>
  <c r="AL240" i="42"/>
  <c r="AI235" i="10"/>
  <c r="AI252" i="10" s="1"/>
  <c r="AK223" i="42"/>
  <c r="AK240" i="42" s="1"/>
  <c r="E25" i="13"/>
  <c r="E23" i="6"/>
  <c r="E18" i="6"/>
  <c r="E17" i="6"/>
  <c r="E20" i="6"/>
  <c r="E21" i="6"/>
  <c r="E14" i="6"/>
  <c r="E22" i="6"/>
  <c r="E13" i="6"/>
  <c r="E15" i="6"/>
  <c r="E19" i="6"/>
  <c r="H53" i="10"/>
  <c r="I103" i="37"/>
  <c r="K13" i="32" s="1"/>
  <c r="H44" i="37"/>
  <c r="I45" i="37"/>
  <c r="AJ247" i="10"/>
  <c r="AJ252" i="10" s="1"/>
  <c r="Y186" i="10"/>
  <c r="Y188" i="10" s="1"/>
  <c r="Y193" i="10" s="1"/>
  <c r="I104" i="37"/>
  <c r="AC186" i="10"/>
  <c r="AC188" i="10" s="1"/>
  <c r="H41" i="37"/>
  <c r="AF46" i="35"/>
  <c r="I41" i="37"/>
  <c r="H104" i="37"/>
  <c r="J11" i="32" s="1"/>
  <c r="Z26" i="35"/>
  <c r="Y26" i="35"/>
  <c r="B85" i="23"/>
  <c r="B81" i="23"/>
  <c r="B77" i="23"/>
  <c r="B73" i="23"/>
  <c r="I32" i="22"/>
  <c r="E28" i="33"/>
  <c r="D77" i="42" l="1"/>
  <c r="J104" i="22" s="1"/>
  <c r="J56" i="23"/>
  <c r="AA54" i="42"/>
  <c r="AF54" i="42"/>
  <c r="V54" i="42"/>
  <c r="D23" i="42"/>
  <c r="N25" i="42" s="1"/>
  <c r="AL242" i="42"/>
  <c r="E35" i="33"/>
  <c r="E19" i="33" s="1"/>
  <c r="E43" i="33" s="1"/>
  <c r="E22" i="21"/>
  <c r="M36" i="33"/>
  <c r="AC193" i="10"/>
  <c r="I46" i="37"/>
  <c r="K6" i="32"/>
  <c r="H46" i="37"/>
  <c r="J8" i="32"/>
  <c r="AJ254" i="10"/>
  <c r="R148" i="10"/>
  <c r="U55" i="42" l="1"/>
  <c r="V55" i="42"/>
  <c r="AF55" i="42"/>
  <c r="AE55" i="42"/>
  <c r="Z55" i="42"/>
  <c r="AA55" i="42"/>
  <c r="D25" i="21"/>
  <c r="Y197" i="10"/>
  <c r="AC197" i="10"/>
  <c r="N12" i="13"/>
  <c r="G11" i="21"/>
  <c r="F11" i="21"/>
  <c r="C46" i="10"/>
  <c r="U127" i="42" l="1"/>
  <c r="AF56" i="42"/>
  <c r="J119" i="22" s="1"/>
  <c r="N13" i="13"/>
  <c r="N25" i="13" s="1"/>
  <c r="D29" i="10"/>
  <c r="D19" i="10"/>
  <c r="C19" i="10" l="1"/>
  <c r="C29" i="10"/>
  <c r="C30" i="10" s="1"/>
  <c r="M30" i="10" s="1"/>
  <c r="C20" i="10" l="1"/>
  <c r="D14" i="21"/>
  <c r="M20" i="10" l="1"/>
  <c r="J11" i="22"/>
  <c r="J10" i="22" s="1"/>
  <c r="G14" i="21"/>
  <c r="F14" i="21"/>
  <c r="W148" i="10"/>
  <c r="Q149" i="10" s="1"/>
  <c r="AB148" i="10"/>
  <c r="Q150" i="10" s="1"/>
  <c r="Q148" i="10"/>
  <c r="R150" i="10"/>
  <c r="O154" i="10"/>
  <c r="Q151" i="10" l="1"/>
  <c r="D23" i="21" s="1"/>
  <c r="D159" i="10"/>
  <c r="M155" i="10"/>
  <c r="J16" i="32" l="1"/>
  <c r="C159" i="10"/>
  <c r="O155" i="10"/>
  <c r="D20" i="29"/>
  <c r="D29" i="29"/>
  <c r="D21" i="29"/>
  <c r="D22" i="29"/>
  <c r="D23" i="29"/>
  <c r="D24" i="29"/>
  <c r="D25" i="29"/>
  <c r="D26" i="29"/>
  <c r="D27" i="29"/>
  <c r="D28" i="29"/>
  <c r="E54" i="29" l="1"/>
  <c r="J54" i="29"/>
  <c r="O54" i="29"/>
  <c r="O30" i="29"/>
  <c r="N30" i="29"/>
  <c r="I30" i="29"/>
  <c r="D30" i="29"/>
  <c r="O31" i="29" l="1"/>
  <c r="J62" i="22" l="1"/>
  <c r="D90" i="10"/>
  <c r="E19" i="21" s="1"/>
  <c r="C90" i="10" l="1"/>
  <c r="C91" i="10" s="1"/>
  <c r="J44" i="22" s="1"/>
  <c r="D19" i="21" l="1"/>
  <c r="M91" i="10"/>
  <c r="G212" i="10" l="1"/>
  <c r="Q31" i="10" l="1"/>
  <c r="Q9" i="10"/>
  <c r="D9" i="21" s="1"/>
  <c r="D52" i="10"/>
  <c r="D75" i="10"/>
  <c r="B49" i="23" l="1"/>
  <c r="D52" i="23"/>
  <c r="D48" i="23"/>
  <c r="D44" i="23"/>
  <c r="D36" i="23"/>
  <c r="D40" i="23"/>
  <c r="I23" i="22"/>
  <c r="I26" i="22"/>
  <c r="J26" i="22"/>
  <c r="I29" i="22"/>
  <c r="J29" i="22"/>
  <c r="J54" i="22"/>
  <c r="I89" i="22"/>
  <c r="I88" i="22" s="1"/>
  <c r="J88" i="22"/>
  <c r="I22" i="22" l="1"/>
  <c r="I4" i="22" s="1"/>
  <c r="J105" i="23"/>
  <c r="I64" i="22" l="1"/>
  <c r="D10" i="21" l="1"/>
  <c r="A9" i="21"/>
  <c r="A10" i="21"/>
  <c r="F19" i="21"/>
  <c r="F22" i="33" s="1"/>
  <c r="G19" i="21"/>
  <c r="A27" i="21"/>
  <c r="A28" i="21"/>
  <c r="A29" i="21"/>
  <c r="A30" i="21"/>
  <c r="J40" i="22" l="1"/>
  <c r="J39" i="22" s="1"/>
  <c r="D23" i="19"/>
  <c r="D28" i="19"/>
  <c r="D36" i="19"/>
  <c r="D43" i="19"/>
  <c r="B32" i="16" l="1"/>
  <c r="B7" i="16"/>
  <c r="C32" i="16"/>
  <c r="C7" i="16" l="1"/>
  <c r="D233" i="10" l="1"/>
  <c r="E29" i="21" s="1"/>
  <c r="I233" i="10" l="1"/>
  <c r="C195" i="10" l="1"/>
  <c r="I235" i="10"/>
  <c r="C197" i="10" l="1"/>
  <c r="D29" i="21" s="1"/>
  <c r="G29" i="21" s="1"/>
  <c r="H233" i="10"/>
  <c r="F29" i="21" l="1"/>
  <c r="J30" i="21" s="1"/>
  <c r="G25" i="21"/>
  <c r="M20" i="33" s="1"/>
  <c r="H235" i="10"/>
  <c r="N54" i="29"/>
  <c r="N56" i="29" s="1"/>
  <c r="O14" i="29"/>
  <c r="F25" i="21" l="1"/>
  <c r="E14" i="29"/>
  <c r="I54" i="29"/>
  <c r="I56" i="29" s="1"/>
  <c r="J14" i="29"/>
  <c r="S234" i="10" l="1"/>
  <c r="J23" i="3"/>
  <c r="J55" i="7" s="1"/>
  <c r="I29" i="6"/>
  <c r="N23" i="3"/>
  <c r="J60" i="7" s="1"/>
  <c r="H169" i="10"/>
  <c r="H168" i="10"/>
  <c r="D169" i="10"/>
  <c r="D168" i="10"/>
  <c r="O29" i="6"/>
  <c r="O29" i="3" s="1"/>
  <c r="M29" i="6"/>
  <c r="L29" i="6"/>
  <c r="K29" i="6"/>
  <c r="J29" i="6"/>
  <c r="E29" i="6"/>
  <c r="F29" i="6"/>
  <c r="E16" i="21"/>
  <c r="D40" i="10"/>
  <c r="D62" i="10"/>
  <c r="E17" i="21" s="1"/>
  <c r="G211" i="10"/>
  <c r="M235" i="10"/>
  <c r="D30" i="21" s="1"/>
  <c r="G33" i="6" l="1"/>
  <c r="C111" i="10"/>
  <c r="E32" i="16"/>
  <c r="R31" i="10"/>
  <c r="R149" i="10"/>
  <c r="J30" i="29"/>
  <c r="J31" i="29" s="1"/>
  <c r="N14" i="29"/>
  <c r="N15" i="29" s="1"/>
  <c r="I155" i="10"/>
  <c r="E27" i="21" s="1"/>
  <c r="C75" i="10"/>
  <c r="D18" i="21" s="1"/>
  <c r="M29" i="13" a="1"/>
  <c r="M29" i="13" s="1"/>
  <c r="F28" i="21"/>
  <c r="F40" i="33" s="1"/>
  <c r="G28" i="21"/>
  <c r="H29" i="6"/>
  <c r="N29" i="6"/>
  <c r="K31" i="3" s="1"/>
  <c r="H339" i="10"/>
  <c r="D235" i="10"/>
  <c r="C62" i="10"/>
  <c r="C40" i="10"/>
  <c r="C52" i="10"/>
  <c r="C53" i="10" s="1"/>
  <c r="C63" i="10" l="1"/>
  <c r="D17" i="21" s="1"/>
  <c r="F17" i="21" s="1"/>
  <c r="F16" i="33" s="1"/>
  <c r="J17" i="22"/>
  <c r="E13" i="21"/>
  <c r="G13" i="21" s="1"/>
  <c r="R32" i="10"/>
  <c r="J113" i="22" s="1"/>
  <c r="J112" i="22" s="1"/>
  <c r="Q32" i="10"/>
  <c r="M53" i="10"/>
  <c r="J15" i="22"/>
  <c r="F10" i="33"/>
  <c r="G32" i="6"/>
  <c r="G34" i="6" s="1"/>
  <c r="C76" i="10"/>
  <c r="G10" i="21"/>
  <c r="M32" i="33" s="1"/>
  <c r="C112" i="10"/>
  <c r="C114" i="10" s="1"/>
  <c r="E30" i="29"/>
  <c r="E31" i="29" s="1"/>
  <c r="R31" i="29" s="1"/>
  <c r="R151" i="10"/>
  <c r="D157" i="10"/>
  <c r="I105" i="23"/>
  <c r="H105" i="23" s="1"/>
  <c r="H155" i="10"/>
  <c r="D14" i="29"/>
  <c r="D15" i="29" s="1"/>
  <c r="I14" i="29"/>
  <c r="I15" i="29" s="1"/>
  <c r="C41" i="10"/>
  <c r="J14" i="22" s="1"/>
  <c r="D16" i="21"/>
  <c r="D32" i="16"/>
  <c r="N27" i="13"/>
  <c r="O234" i="10"/>
  <c r="M63" i="10" l="1"/>
  <c r="F13" i="21"/>
  <c r="J13" i="22"/>
  <c r="M76" i="10"/>
  <c r="J18" i="22"/>
  <c r="J16" i="22" s="1"/>
  <c r="F14" i="33"/>
  <c r="M41" i="10"/>
  <c r="M16" i="33"/>
  <c r="F13" i="33"/>
  <c r="O156" i="10"/>
  <c r="N31" i="13"/>
  <c r="N35" i="13"/>
  <c r="N39" i="13"/>
  <c r="N37" i="13"/>
  <c r="N34" i="13"/>
  <c r="N38" i="13"/>
  <c r="N32" i="13"/>
  <c r="N36" i="13"/>
  <c r="N40" i="13"/>
  <c r="N33" i="13"/>
  <c r="N41" i="13"/>
  <c r="M31" i="13"/>
  <c r="M35" i="13"/>
  <c r="M39" i="13"/>
  <c r="M33" i="13"/>
  <c r="M41" i="13"/>
  <c r="M34" i="13"/>
  <c r="M38" i="13"/>
  <c r="M32" i="13"/>
  <c r="M36" i="13"/>
  <c r="M40" i="13"/>
  <c r="M37" i="13"/>
  <c r="N29" i="13"/>
  <c r="F18" i="21"/>
  <c r="G18" i="21"/>
  <c r="F10" i="21"/>
  <c r="N30" i="13"/>
  <c r="D161" i="10"/>
  <c r="AC151" i="10"/>
  <c r="I103" i="22" s="1"/>
  <c r="I96" i="22" s="1"/>
  <c r="C157" i="10"/>
  <c r="R15" i="29"/>
  <c r="J102" i="22"/>
  <c r="J97" i="22" s="1"/>
  <c r="H211" i="10"/>
  <c r="D9" i="19"/>
  <c r="D8" i="19" s="1"/>
  <c r="B33" i="16"/>
  <c r="O235" i="10"/>
  <c r="E30" i="21"/>
  <c r="F16" i="21"/>
  <c r="G16" i="21"/>
  <c r="G17" i="21"/>
  <c r="G32" i="16"/>
  <c r="F32" i="16"/>
  <c r="H212" i="10"/>
  <c r="T234" i="10"/>
  <c r="J9" i="22" l="1"/>
  <c r="C33" i="16"/>
  <c r="N42" i="13"/>
  <c r="E33" i="16" s="1"/>
  <c r="M42" i="13"/>
  <c r="F38" i="33"/>
  <c r="Q210" i="10"/>
  <c r="M238" i="10"/>
  <c r="M10" i="33" s="1"/>
  <c r="M34" i="33"/>
  <c r="D3" i="19"/>
  <c r="D2" i="19" s="1"/>
  <c r="D21" i="19" s="1"/>
  <c r="H128" i="10"/>
  <c r="M45" i="13" a="1"/>
  <c r="M45" i="13" s="1"/>
  <c r="F30" i="21"/>
  <c r="G30" i="21"/>
  <c r="K30" i="21" s="1"/>
  <c r="T235" i="10"/>
  <c r="J93" i="7"/>
  <c r="J69" i="7"/>
  <c r="J37" i="7"/>
  <c r="J35" i="7"/>
  <c r="J29" i="7"/>
  <c r="J26" i="7"/>
  <c r="J23" i="7"/>
  <c r="J17" i="7"/>
  <c r="J15" i="7"/>
  <c r="J13" i="7"/>
  <c r="J32" i="21" l="1"/>
  <c r="K32" i="21"/>
  <c r="K34" i="21" s="1"/>
  <c r="D33" i="16"/>
  <c r="G33" i="16" s="1"/>
  <c r="Q211" i="10"/>
  <c r="G27" i="21"/>
  <c r="F27" i="21"/>
  <c r="D20" i="19"/>
  <c r="N43" i="13"/>
  <c r="G22" i="21"/>
  <c r="J124" i="22" s="1"/>
  <c r="F22" i="21"/>
  <c r="R23" i="3"/>
  <c r="P23" i="3"/>
  <c r="O23" i="3"/>
  <c r="K30" i="3" s="1"/>
  <c r="S23" i="3"/>
  <c r="O28" i="3" s="1"/>
  <c r="O32" i="3" s="1"/>
  <c r="I23" i="3"/>
  <c r="L23" i="3"/>
  <c r="J58" i="7" s="1"/>
  <c r="H23" i="3"/>
  <c r="J48" i="7" s="1"/>
  <c r="G23" i="3"/>
  <c r="J46" i="7" s="1"/>
  <c r="F23" i="3"/>
  <c r="E23" i="3"/>
  <c r="J122" i="22" l="1"/>
  <c r="J126" i="22"/>
  <c r="M48" i="13"/>
  <c r="M52" i="13"/>
  <c r="M56" i="13"/>
  <c r="N50" i="13"/>
  <c r="N54" i="13"/>
  <c r="M51" i="13"/>
  <c r="M55" i="13"/>
  <c r="N49" i="13"/>
  <c r="N53" i="13"/>
  <c r="N47" i="13"/>
  <c r="M50" i="13"/>
  <c r="N48" i="13"/>
  <c r="N56" i="13"/>
  <c r="M49" i="13"/>
  <c r="M53" i="13"/>
  <c r="M47" i="13"/>
  <c r="N51" i="13"/>
  <c r="N55" i="13"/>
  <c r="M54" i="13"/>
  <c r="N52" i="13"/>
  <c r="J81" i="7"/>
  <c r="K28" i="3"/>
  <c r="J73" i="7"/>
  <c r="K29" i="3"/>
  <c r="H26" i="3"/>
  <c r="N46" i="13"/>
  <c r="N45" i="13"/>
  <c r="C34" i="16" s="1"/>
  <c r="F33" i="16"/>
  <c r="J23" i="22"/>
  <c r="J22" i="22" s="1"/>
  <c r="J4" i="22" s="1"/>
  <c r="D34" i="19"/>
  <c r="D33" i="19"/>
  <c r="B34" i="16"/>
  <c r="H27" i="3"/>
  <c r="J89" i="7"/>
  <c r="J97" i="7" s="1"/>
  <c r="J71" i="7"/>
  <c r="J44" i="7"/>
  <c r="J86" i="7" l="1"/>
  <c r="J103" i="7" s="1"/>
  <c r="K32" i="3"/>
  <c r="M33" i="3" s="1"/>
  <c r="H28" i="3"/>
  <c r="D52" i="19"/>
  <c r="D51" i="19"/>
  <c r="J84" i="22" s="1"/>
  <c r="N57" i="13"/>
  <c r="E34" i="16" s="1"/>
  <c r="M57" i="13"/>
  <c r="M60" i="13" s="1" a="1"/>
  <c r="M60" i="13" s="1"/>
  <c r="J101" i="7" l="1"/>
  <c r="L33" i="3"/>
  <c r="N58" i="13"/>
  <c r="D34" i="16"/>
  <c r="F34" i="16" s="1"/>
  <c r="N60" i="13" l="1"/>
  <c r="C35" i="16" s="1"/>
  <c r="N63" i="13"/>
  <c r="N67" i="13"/>
  <c r="N71" i="13"/>
  <c r="M65" i="13"/>
  <c r="M69" i="13"/>
  <c r="N66" i="13"/>
  <c r="N70" i="13"/>
  <c r="M64" i="13"/>
  <c r="M68" i="13"/>
  <c r="M62" i="13"/>
  <c r="N69" i="13"/>
  <c r="M67" i="13"/>
  <c r="N64" i="13"/>
  <c r="N68" i="13"/>
  <c r="N62" i="13"/>
  <c r="M66" i="13"/>
  <c r="M70" i="13"/>
  <c r="N65" i="13"/>
  <c r="M63" i="13"/>
  <c r="M71" i="13"/>
  <c r="N61" i="13"/>
  <c r="B35" i="16"/>
  <c r="D7" i="16"/>
  <c r="G34" i="16"/>
  <c r="N72" i="13" l="1"/>
  <c r="E35" i="16" s="1"/>
  <c r="M72" i="13"/>
  <c r="M80" i="13" s="1" a="1"/>
  <c r="M80" i="13" s="1"/>
  <c r="N85" i="13" l="1"/>
  <c r="N89" i="13"/>
  <c r="N82" i="13"/>
  <c r="M86" i="13"/>
  <c r="M90" i="13"/>
  <c r="N84" i="13"/>
  <c r="N88" i="13"/>
  <c r="N92" i="13"/>
  <c r="M85" i="13"/>
  <c r="M89" i="13"/>
  <c r="M82" i="13"/>
  <c r="N83" i="13"/>
  <c r="N91" i="13"/>
  <c r="M84" i="13"/>
  <c r="M92" i="13"/>
  <c r="N86" i="13"/>
  <c r="N90" i="13"/>
  <c r="M83" i="13"/>
  <c r="M87" i="13"/>
  <c r="M91" i="13"/>
  <c r="N87" i="13"/>
  <c r="M88" i="13"/>
  <c r="D35" i="16"/>
  <c r="N73" i="13"/>
  <c r="M93" i="13" l="1"/>
  <c r="N81" i="13"/>
  <c r="N93" i="13" s="1"/>
  <c r="N80" i="13"/>
  <c r="C36" i="16" s="1"/>
  <c r="B36" i="16"/>
  <c r="G35" i="16"/>
  <c r="F35" i="16"/>
  <c r="E36" i="16" l="1"/>
  <c r="M101" i="13" a="1"/>
  <c r="M101" i="13" s="1"/>
  <c r="N104" i="13" l="1"/>
  <c r="N108" i="13"/>
  <c r="N112" i="13"/>
  <c r="M105" i="13"/>
  <c r="M109" i="13"/>
  <c r="M113" i="13"/>
  <c r="N107" i="13"/>
  <c r="N111" i="13"/>
  <c r="M104" i="13"/>
  <c r="M108" i="13"/>
  <c r="M112" i="13"/>
  <c r="N106" i="13"/>
  <c r="N110" i="13"/>
  <c r="N103" i="13"/>
  <c r="M107" i="13"/>
  <c r="M111" i="13"/>
  <c r="N105" i="13"/>
  <c r="N109" i="13"/>
  <c r="N113" i="13"/>
  <c r="M106" i="13"/>
  <c r="M110" i="13"/>
  <c r="M103" i="13"/>
  <c r="N101" i="13"/>
  <c r="C37" i="16" s="1"/>
  <c r="N102" i="13"/>
  <c r="B37" i="16"/>
  <c r="N94" i="13"/>
  <c r="D36" i="16"/>
  <c r="G36" i="16" s="1"/>
  <c r="M114" i="13" l="1"/>
  <c r="M119" i="13" s="1" a="1"/>
  <c r="M119" i="13" s="1"/>
  <c r="N114" i="13"/>
  <c r="E37" i="16" s="1"/>
  <c r="F36" i="16"/>
  <c r="N124" i="13" l="1"/>
  <c r="N128" i="13"/>
  <c r="N121" i="13"/>
  <c r="M125" i="13"/>
  <c r="M129" i="13"/>
  <c r="N123" i="13"/>
  <c r="N127" i="13"/>
  <c r="N131" i="13"/>
  <c r="M124" i="13"/>
  <c r="M128" i="13"/>
  <c r="M121" i="13"/>
  <c r="N122" i="13"/>
  <c r="N126" i="13"/>
  <c r="N130" i="13"/>
  <c r="M123" i="13"/>
  <c r="M127" i="13"/>
  <c r="M131" i="13"/>
  <c r="N125" i="13"/>
  <c r="N129" i="13"/>
  <c r="M122" i="13"/>
  <c r="M126" i="13"/>
  <c r="M130" i="13"/>
  <c r="N120" i="13"/>
  <c r="N119" i="13"/>
  <c r="D37" i="16"/>
  <c r="G37" i="16" s="1"/>
  <c r="N115" i="13"/>
  <c r="M132" i="13" l="1"/>
  <c r="N132" i="13"/>
  <c r="F37" i="16"/>
  <c r="C38" i="16"/>
  <c r="B38" i="16"/>
  <c r="E38" i="16" l="1"/>
  <c r="M136" i="13" a="1"/>
  <c r="M136" i="13" s="1"/>
  <c r="N139" i="13" l="1"/>
  <c r="N143" i="13"/>
  <c r="N147" i="13"/>
  <c r="M140" i="13"/>
  <c r="M144" i="13"/>
  <c r="M148" i="13"/>
  <c r="N142" i="13"/>
  <c r="N146" i="13"/>
  <c r="M139" i="13"/>
  <c r="M143" i="13"/>
  <c r="M147" i="13"/>
  <c r="N145" i="13"/>
  <c r="N138" i="13"/>
  <c r="M142" i="13"/>
  <c r="M146" i="13"/>
  <c r="N140" i="13"/>
  <c r="N144" i="13"/>
  <c r="N148" i="13"/>
  <c r="M141" i="13"/>
  <c r="M145" i="13"/>
  <c r="M138" i="13"/>
  <c r="N141" i="13"/>
  <c r="N136" i="13"/>
  <c r="C39" i="16" s="1"/>
  <c r="N137" i="13"/>
  <c r="N133" i="13"/>
  <c r="D38" i="16"/>
  <c r="B39" i="16"/>
  <c r="N149" i="13" l="1"/>
  <c r="E39" i="16" s="1"/>
  <c r="M149" i="13"/>
  <c r="M154" i="13" s="1" a="1"/>
  <c r="M154" i="13" s="1"/>
  <c r="F38" i="16"/>
  <c r="G38" i="16"/>
  <c r="N159" i="13" l="1"/>
  <c r="N163" i="13"/>
  <c r="N156" i="13"/>
  <c r="M160" i="13"/>
  <c r="M164" i="13"/>
  <c r="N158" i="13"/>
  <c r="N162" i="13"/>
  <c r="N166" i="13"/>
  <c r="M159" i="13"/>
  <c r="M163" i="13"/>
  <c r="M156" i="13"/>
  <c r="N157" i="13"/>
  <c r="N161" i="13"/>
  <c r="N165" i="13"/>
  <c r="M158" i="13"/>
  <c r="M162" i="13"/>
  <c r="M166" i="13"/>
  <c r="N160" i="13"/>
  <c r="N164" i="13"/>
  <c r="M157" i="13"/>
  <c r="M161" i="13"/>
  <c r="M165" i="13"/>
  <c r="N155" i="13"/>
  <c r="N154" i="13"/>
  <c r="C40" i="16" s="1"/>
  <c r="B40" i="16"/>
  <c r="D39" i="16"/>
  <c r="F39" i="16" s="1"/>
  <c r="N150" i="13"/>
  <c r="M167" i="13" l="1"/>
  <c r="M171" i="13" s="1" a="1"/>
  <c r="M171" i="13" s="1"/>
  <c r="N167" i="13"/>
  <c r="G39" i="16"/>
  <c r="E40" i="16" l="1"/>
  <c r="N168" i="13"/>
  <c r="N174" i="13"/>
  <c r="N178" i="13"/>
  <c r="N182" i="13"/>
  <c r="M175" i="13"/>
  <c r="M179" i="13"/>
  <c r="M183" i="13"/>
  <c r="N177" i="13"/>
  <c r="N181" i="13"/>
  <c r="M174" i="13"/>
  <c r="M178" i="13"/>
  <c r="M182" i="13"/>
  <c r="N176" i="13"/>
  <c r="N180" i="13"/>
  <c r="N173" i="13"/>
  <c r="M177" i="13"/>
  <c r="M181" i="13"/>
  <c r="N175" i="13"/>
  <c r="N179" i="13"/>
  <c r="N183" i="13"/>
  <c r="M176" i="13"/>
  <c r="M180" i="13"/>
  <c r="M173" i="13"/>
  <c r="N171" i="13"/>
  <c r="N172" i="13"/>
  <c r="D40" i="16"/>
  <c r="F40" i="16" l="1"/>
  <c r="M184" i="13"/>
  <c r="N184" i="13"/>
  <c r="G40" i="16"/>
  <c r="B41" i="16"/>
  <c r="C41" i="16"/>
  <c r="C44" i="16" s="1"/>
  <c r="M189" i="13" l="1" a="1"/>
  <c r="M189" i="13" s="1"/>
  <c r="E41" i="16"/>
  <c r="E44" i="16" s="1"/>
  <c r="N190" i="13" l="1"/>
  <c r="N194" i="13"/>
  <c r="N198" i="13"/>
  <c r="N191" i="13"/>
  <c r="M195" i="13"/>
  <c r="M199" i="13"/>
  <c r="N193" i="13"/>
  <c r="N197" i="13"/>
  <c r="N201" i="13"/>
  <c r="M194" i="13"/>
  <c r="M198" i="13"/>
  <c r="M191" i="13"/>
  <c r="N192" i="13"/>
  <c r="N196" i="13"/>
  <c r="N200" i="13"/>
  <c r="M193" i="13"/>
  <c r="M197" i="13"/>
  <c r="M201" i="13"/>
  <c r="N195" i="13"/>
  <c r="N199" i="13"/>
  <c r="M192" i="13"/>
  <c r="M196" i="13"/>
  <c r="M200" i="13"/>
  <c r="N189" i="13"/>
  <c r="D41" i="16"/>
  <c r="D44" i="16" s="1"/>
  <c r="N185" i="13"/>
  <c r="M202" i="13" l="1"/>
  <c r="N202" i="13"/>
  <c r="G41" i="16"/>
  <c r="G44" i="16" s="1"/>
  <c r="F41" i="16"/>
  <c r="F44" i="16" s="1"/>
  <c r="C42" i="16"/>
  <c r="B42" i="16"/>
  <c r="N203" i="13" l="1"/>
  <c r="E42" i="16"/>
  <c r="D42" i="16"/>
  <c r="G42" i="16" l="1"/>
  <c r="F42" i="16"/>
  <c r="G23" i="21" l="1"/>
  <c r="F23" i="21"/>
  <c r="J103" i="22" l="1"/>
  <c r="J96" i="22" s="1"/>
  <c r="G25" i="23" l="1"/>
  <c r="F24" i="23"/>
  <c r="F17" i="13"/>
  <c r="F25" i="13" l="1"/>
  <c r="E27" i="13" s="1"/>
  <c r="E29" i="13" l="1"/>
  <c r="E30" i="13" s="1"/>
  <c r="E7" i="16"/>
  <c r="G7" i="16" s="1"/>
  <c r="I56" i="23"/>
  <c r="F7" i="16" l="1"/>
  <c r="F39" i="13"/>
  <c r="F38" i="13"/>
  <c r="E41" i="13"/>
  <c r="E39" i="13"/>
  <c r="F29" i="13"/>
  <c r="C8" i="16" s="1"/>
  <c r="F33" i="13"/>
  <c r="F35" i="13"/>
  <c r="F32" i="13"/>
  <c r="E40" i="13"/>
  <c r="E34" i="13"/>
  <c r="E31" i="13"/>
  <c r="F34" i="13"/>
  <c r="F37" i="13"/>
  <c r="F40" i="13"/>
  <c r="E36" i="13"/>
  <c r="E37" i="13"/>
  <c r="F36" i="13"/>
  <c r="E32" i="13"/>
  <c r="F31" i="13"/>
  <c r="B18" i="23"/>
  <c r="F41" i="13"/>
  <c r="B8" i="16"/>
  <c r="E33" i="13"/>
  <c r="E38" i="13"/>
  <c r="E35" i="13"/>
  <c r="F42" i="13" l="1"/>
  <c r="E8" i="16" s="1"/>
  <c r="E42" i="13"/>
  <c r="D8" i="16" s="1"/>
  <c r="E43" i="13" l="1"/>
  <c r="E45" i="13" s="1" a="1"/>
  <c r="E45" i="13" s="1"/>
  <c r="E48" i="13" s="1"/>
  <c r="F8" i="16"/>
  <c r="G8" i="16"/>
  <c r="E53" i="13" l="1"/>
  <c r="E51" i="13"/>
  <c r="E49" i="13"/>
  <c r="E56" i="13"/>
  <c r="E54" i="13"/>
  <c r="E52" i="13"/>
  <c r="E50" i="13"/>
  <c r="E47" i="13"/>
  <c r="E55" i="13"/>
  <c r="F52" i="13"/>
  <c r="F50" i="13"/>
  <c r="F51" i="13"/>
  <c r="B22" i="23"/>
  <c r="B9" i="16"/>
  <c r="F55" i="13"/>
  <c r="E46" i="13"/>
  <c r="F53" i="13"/>
  <c r="F54" i="13"/>
  <c r="F49" i="13"/>
  <c r="F48" i="13"/>
  <c r="F56" i="13"/>
  <c r="F45" i="13"/>
  <c r="C9" i="16" s="1"/>
  <c r="F47" i="13"/>
  <c r="E57" i="13" l="1"/>
  <c r="F57" i="13"/>
  <c r="E9" i="16" s="1"/>
  <c r="D9" i="16" l="1"/>
  <c r="E58" i="13"/>
  <c r="E60" i="13" s="1" a="1"/>
  <c r="E60" i="13" s="1"/>
  <c r="E65" i="13" l="1"/>
  <c r="E69" i="13"/>
  <c r="E71" i="13"/>
  <c r="E64" i="13"/>
  <c r="E68" i="13"/>
  <c r="E62" i="13"/>
  <c r="E63" i="13"/>
  <c r="E66" i="13"/>
  <c r="E70" i="13"/>
  <c r="E67" i="13"/>
  <c r="F9" i="16"/>
  <c r="G9" i="16"/>
  <c r="F65" i="13"/>
  <c r="F68" i="13"/>
  <c r="F63" i="13"/>
  <c r="F70" i="13"/>
  <c r="F62" i="13"/>
  <c r="F67" i="13"/>
  <c r="F64" i="13"/>
  <c r="E61" i="13"/>
  <c r="F69" i="13"/>
  <c r="B10" i="16"/>
  <c r="F66" i="13"/>
  <c r="F71" i="13"/>
  <c r="B26" i="23"/>
  <c r="F60" i="13"/>
  <c r="C10" i="16" s="1"/>
  <c r="F72" i="13" l="1"/>
  <c r="E10" i="16" s="1"/>
  <c r="E18" i="16" s="1"/>
  <c r="E72" i="13"/>
  <c r="E73" i="13" l="1"/>
  <c r="E80" i="13" s="1" a="1"/>
  <c r="E80" i="13" s="1"/>
  <c r="D10" i="16"/>
  <c r="E84" i="13" l="1"/>
  <c r="E88" i="13"/>
  <c r="E92" i="13"/>
  <c r="E90" i="13"/>
  <c r="E83" i="13"/>
  <c r="E87" i="13"/>
  <c r="E91" i="13"/>
  <c r="E85" i="13"/>
  <c r="E89" i="13"/>
  <c r="E82" i="13"/>
  <c r="E86" i="13"/>
  <c r="F86" i="13"/>
  <c r="F87" i="13"/>
  <c r="F88" i="13"/>
  <c r="B30" i="23"/>
  <c r="F92" i="13"/>
  <c r="F84" i="13"/>
  <c r="B11" i="16"/>
  <c r="F82" i="13"/>
  <c r="E81" i="13"/>
  <c r="F83" i="13"/>
  <c r="F85" i="13"/>
  <c r="F90" i="13"/>
  <c r="F91" i="13"/>
  <c r="F80" i="13"/>
  <c r="C11" i="16" s="1"/>
  <c r="F89" i="13"/>
  <c r="G10" i="16"/>
  <c r="G18" i="16" s="1"/>
  <c r="F10" i="16"/>
  <c r="F18" i="16" s="1"/>
  <c r="D18" i="16"/>
  <c r="F93" i="13" l="1"/>
  <c r="E11" i="16" s="1"/>
  <c r="E93" i="13"/>
  <c r="E94" i="13" l="1"/>
  <c r="E101" i="13" s="1" a="1"/>
  <c r="E101" i="13" s="1"/>
  <c r="D11" i="16"/>
  <c r="E104" i="13" l="1"/>
  <c r="E108" i="13"/>
  <c r="E112" i="13"/>
  <c r="E110" i="13"/>
  <c r="E107" i="13"/>
  <c r="E111" i="13"/>
  <c r="E103" i="13"/>
  <c r="E105" i="13"/>
  <c r="E109" i="13"/>
  <c r="E113" i="13"/>
  <c r="E106" i="13"/>
  <c r="F112" i="13"/>
  <c r="F108" i="13"/>
  <c r="B12" i="16"/>
  <c r="F106" i="13"/>
  <c r="F107" i="13"/>
  <c r="E102" i="13"/>
  <c r="F111" i="13"/>
  <c r="F113" i="13"/>
  <c r="F101" i="13"/>
  <c r="C12" i="16" s="1"/>
  <c r="B34" i="23"/>
  <c r="F110" i="13"/>
  <c r="F103" i="13"/>
  <c r="F105" i="13"/>
  <c r="F109" i="13"/>
  <c r="F104" i="13"/>
  <c r="F11" i="16"/>
  <c r="G11" i="16"/>
  <c r="E114" i="13" l="1"/>
  <c r="D12" i="16" s="1"/>
  <c r="F114" i="13"/>
  <c r="E12" i="16" s="1"/>
  <c r="C13" i="16" l="1"/>
  <c r="E115" i="13"/>
  <c r="E119" i="13" s="1" a="1"/>
  <c r="E119" i="13" s="1"/>
  <c r="E125" i="13" s="1"/>
  <c r="F12" i="16"/>
  <c r="G12" i="16"/>
  <c r="F128" i="13" l="1"/>
  <c r="F124" i="13"/>
  <c r="F119" i="13"/>
  <c r="F129" i="13"/>
  <c r="E122" i="13"/>
  <c r="E124" i="13"/>
  <c r="E120" i="13"/>
  <c r="B38" i="23"/>
  <c r="B13" i="16"/>
  <c r="F123" i="13"/>
  <c r="E130" i="13"/>
  <c r="E121" i="13"/>
  <c r="E129" i="13"/>
  <c r="F127" i="13"/>
  <c r="F125" i="13"/>
  <c r="F126" i="13"/>
  <c r="E123" i="13"/>
  <c r="E131" i="13"/>
  <c r="E127" i="13"/>
  <c r="F131" i="13"/>
  <c r="F121" i="13"/>
  <c r="F122" i="13"/>
  <c r="F130" i="13"/>
  <c r="E126" i="13"/>
  <c r="E128" i="13"/>
  <c r="F132" i="13" l="1"/>
  <c r="E13" i="16" s="1"/>
  <c r="E132" i="13"/>
  <c r="D13" i="16" s="1"/>
  <c r="F13" i="16" l="1"/>
  <c r="E133" i="13"/>
  <c r="E136" i="13" s="1" a="1"/>
  <c r="E136" i="13" s="1"/>
  <c r="G13" i="16"/>
  <c r="F140" i="13" l="1"/>
  <c r="E141" i="13"/>
  <c r="E145" i="13"/>
  <c r="E138" i="13"/>
  <c r="E143" i="13"/>
  <c r="E140" i="13"/>
  <c r="E144" i="13"/>
  <c r="E148" i="13"/>
  <c r="E147" i="13"/>
  <c r="E142" i="13"/>
  <c r="E146" i="13"/>
  <c r="E139" i="13"/>
  <c r="F146" i="13"/>
  <c r="F141" i="13"/>
  <c r="F142" i="13"/>
  <c r="F139" i="13"/>
  <c r="B14" i="16"/>
  <c r="E137" i="13"/>
  <c r="F145" i="13"/>
  <c r="F147" i="13"/>
  <c r="F143" i="13"/>
  <c r="F144" i="13"/>
  <c r="B42" i="23"/>
  <c r="F138" i="13"/>
  <c r="F148" i="13"/>
  <c r="F136" i="13"/>
  <c r="C14" i="16" s="1"/>
  <c r="E149" i="13" l="1"/>
  <c r="D14" i="16" s="1"/>
  <c r="F149" i="13"/>
  <c r="E14" i="16" s="1"/>
  <c r="G14" i="16" l="1"/>
  <c r="F14" i="16"/>
  <c r="E150" i="13"/>
  <c r="E154" i="13" s="1" a="1"/>
  <c r="E154" i="13" s="1"/>
  <c r="F157" i="13" l="1"/>
  <c r="E158" i="13"/>
  <c r="E162" i="13"/>
  <c r="E166" i="13"/>
  <c r="E160" i="13"/>
  <c r="E157" i="13"/>
  <c r="E161" i="13"/>
  <c r="E165" i="13"/>
  <c r="E164" i="13"/>
  <c r="E159" i="13"/>
  <c r="E163" i="13"/>
  <c r="E156" i="13"/>
  <c r="F161" i="13"/>
  <c r="F162" i="13"/>
  <c r="F160" i="13"/>
  <c r="B45" i="23"/>
  <c r="F156" i="13"/>
  <c r="E155" i="13"/>
  <c r="F158" i="13"/>
  <c r="F164" i="13"/>
  <c r="F159" i="13"/>
  <c r="F165" i="13"/>
  <c r="F154" i="13"/>
  <c r="C15" i="16" s="1"/>
  <c r="F166" i="13"/>
  <c r="F163" i="13"/>
  <c r="B15" i="16"/>
  <c r="E167" i="13" l="1"/>
  <c r="D15" i="16" s="1"/>
  <c r="F167" i="13"/>
  <c r="E15" i="16" s="1"/>
  <c r="F15" i="16" l="1"/>
  <c r="E168" i="13"/>
  <c r="E171" i="13" s="1" a="1"/>
  <c r="E171" i="13" s="1"/>
  <c r="G15" i="16"/>
  <c r="E174" i="13" l="1"/>
  <c r="E178" i="13"/>
  <c r="E182" i="13"/>
  <c r="E176" i="13"/>
  <c r="E177" i="13"/>
  <c r="E181" i="13"/>
  <c r="E180" i="13"/>
  <c r="E175" i="13"/>
  <c r="E179" i="13"/>
  <c r="E183" i="13"/>
  <c r="E173" i="13"/>
  <c r="F176" i="13"/>
  <c r="F171" i="13"/>
  <c r="C16" i="16" s="1"/>
  <c r="F178" i="13"/>
  <c r="F174" i="13"/>
  <c r="F173" i="13"/>
  <c r="E172" i="13"/>
  <c r="F182" i="13"/>
  <c r="F183" i="13"/>
  <c r="B16" i="16"/>
  <c r="F177" i="13"/>
  <c r="F181" i="13"/>
  <c r="F180" i="13"/>
  <c r="F179" i="13"/>
  <c r="F175" i="13"/>
  <c r="E184" i="13" l="1"/>
  <c r="D16" i="16" s="1"/>
  <c r="F184" i="13"/>
  <c r="E16" i="16" s="1"/>
  <c r="F16" i="16" l="1"/>
  <c r="C17" i="16"/>
  <c r="B17" i="16"/>
  <c r="G16" i="16"/>
  <c r="E185" i="13"/>
  <c r="E189" i="13" s="1" a="1"/>
  <c r="E189" i="13" s="1"/>
  <c r="E195" i="13" l="1"/>
  <c r="E199" i="13"/>
  <c r="E193" i="13"/>
  <c r="E194" i="13"/>
  <c r="E198" i="13"/>
  <c r="E191" i="13"/>
  <c r="E201" i="13"/>
  <c r="E192" i="13"/>
  <c r="E196" i="13"/>
  <c r="E200" i="13"/>
  <c r="E197" i="13"/>
  <c r="F195" i="13"/>
  <c r="F197" i="13"/>
  <c r="F192" i="13"/>
  <c r="F194" i="13"/>
  <c r="F199" i="13"/>
  <c r="F191" i="13"/>
  <c r="F200" i="13"/>
  <c r="F189" i="13"/>
  <c r="E190" i="13"/>
  <c r="F201" i="13"/>
  <c r="F198" i="13"/>
  <c r="B54" i="23"/>
  <c r="F193" i="13"/>
  <c r="F196" i="13"/>
  <c r="F202" i="13" l="1"/>
  <c r="E17" i="16" s="1"/>
  <c r="E202" i="13"/>
  <c r="D17" i="16" s="1"/>
  <c r="F17" i="16" l="1"/>
  <c r="G17" i="16"/>
  <c r="E203" i="13"/>
  <c r="C123" i="10" l="1"/>
  <c r="C149" i="10"/>
  <c r="C155" i="10" s="1"/>
  <c r="D46" i="29"/>
  <c r="D54" i="29" s="1"/>
  <c r="D56" i="29" s="1"/>
  <c r="R56" i="29" s="1"/>
  <c r="O157" i="10" l="1"/>
  <c r="C161" i="10"/>
  <c r="O158" i="10" s="1"/>
  <c r="R160" i="10" l="1"/>
  <c r="F26" i="21"/>
  <c r="F36" i="33" s="1"/>
  <c r="G26" i="21"/>
  <c r="I111" i="10" l="1"/>
  <c r="D112" i="10" s="1"/>
  <c r="D111" i="10"/>
  <c r="P152" i="10" s="1"/>
  <c r="D114" i="10" l="1"/>
  <c r="M114" i="10" s="1"/>
  <c r="H213" i="10" s="1"/>
  <c r="K17" i="32" l="1"/>
  <c r="J18" i="32" s="1"/>
  <c r="J20" i="32" s="1"/>
  <c r="K18" i="32" l="1"/>
  <c r="K20" i="32" s="1"/>
  <c r="J24" i="32"/>
  <c r="F25" i="33"/>
  <c r="J36" i="22" l="1"/>
  <c r="D21" i="21"/>
  <c r="M25" i="42"/>
  <c r="D20" i="21" l="1"/>
  <c r="G21" i="21"/>
  <c r="F21" i="21"/>
  <c r="J35" i="22"/>
  <c r="J34" i="22"/>
  <c r="G20" i="21" l="1"/>
  <c r="F20" i="21"/>
  <c r="J50" i="22" s="1"/>
  <c r="J49" i="22" s="1"/>
  <c r="I70" i="22" l="1"/>
  <c r="I69" i="22" s="1"/>
  <c r="V11" i="42"/>
  <c r="V24" i="42" s="1"/>
  <c r="I117" i="22"/>
  <c r="I116" i="22" s="1"/>
  <c r="I110" i="22" s="1"/>
  <c r="I95" i="22" s="1"/>
  <c r="L43" i="34"/>
  <c r="L26" i="34" s="1"/>
  <c r="I128" i="22" l="1"/>
  <c r="L6" i="34"/>
  <c r="L78" i="34"/>
  <c r="L79" i="34" s="1"/>
  <c r="V25" i="42"/>
  <c r="AF26" i="42" s="1"/>
  <c r="J117" i="22" s="1"/>
  <c r="J116" i="22" s="1"/>
  <c r="J110" i="22" s="1"/>
  <c r="J95" i="22" s="1"/>
  <c r="U25" i="42"/>
  <c r="L29" i="33"/>
  <c r="L24" i="33" s="1"/>
  <c r="R5" i="10" l="1"/>
  <c r="R9" i="10" s="1"/>
  <c r="L64" i="34"/>
  <c r="H66" i="34" s="1"/>
  <c r="L5" i="33" l="1"/>
  <c r="L38" i="33" s="1"/>
  <c r="E9" i="21"/>
  <c r="R10" i="10"/>
  <c r="G9" i="21" l="1"/>
  <c r="F9" i="21"/>
  <c r="Q212" i="10"/>
  <c r="I213" i="10" s="1"/>
  <c r="J71" i="22"/>
  <c r="J70" i="22" s="1"/>
  <c r="J69" i="22" s="1"/>
  <c r="J128" i="22" s="1"/>
  <c r="M5" i="33" l="1"/>
  <c r="M38" i="33" s="1"/>
  <c r="C144" i="42"/>
  <c r="C145" i="42" l="1"/>
  <c r="C153" i="42" s="1"/>
  <c r="C157" i="42" s="1"/>
  <c r="J58" i="22" s="1"/>
  <c r="J57" i="22" s="1"/>
  <c r="J32" i="22" s="1"/>
  <c r="J64" i="22" s="1"/>
  <c r="J27" i="21"/>
  <c r="M27" i="21"/>
  <c r="E24" i="21"/>
  <c r="E31" i="21"/>
  <c r="N78" i="42"/>
  <c r="N77" i="42"/>
  <c r="K27" i="21"/>
  <c r="G24" i="21"/>
  <c r="G31" i="21"/>
  <c r="D31" i="21"/>
  <c r="D32" i="21"/>
  <c r="F24" i="21"/>
  <c r="F31" i="21"/>
  <c r="F32" i="21"/>
  <c r="M77" i="42"/>
  <c r="M78" i="42"/>
  <c r="D24" i="21"/>
</calcChain>
</file>

<file path=xl/sharedStrings.xml><?xml version="1.0" encoding="utf-8"?>
<sst xmlns="http://schemas.openxmlformats.org/spreadsheetml/2006/main" count="4522" uniqueCount="2524">
  <si>
    <t>Clients</t>
  </si>
  <si>
    <t>V.I.</t>
  </si>
  <si>
    <t>HTVA</t>
  </si>
  <si>
    <t>TVAC</t>
  </si>
  <si>
    <t>note de crédit</t>
  </si>
  <si>
    <t>PCMN</t>
  </si>
  <si>
    <t>Ne plus utilisé</t>
  </si>
  <si>
    <t>total</t>
  </si>
  <si>
    <t>TVA récup</t>
  </si>
  <si>
    <t>Mobilier &amp; M.R.</t>
  </si>
  <si>
    <t>Marchandise</t>
  </si>
  <si>
    <t>TOTAL</t>
  </si>
  <si>
    <t>Machine</t>
  </si>
  <si>
    <t>TVA due</t>
  </si>
  <si>
    <t>outillage</t>
  </si>
  <si>
    <t>IMO</t>
  </si>
  <si>
    <t>13</t>
  </si>
  <si>
    <t>14</t>
  </si>
  <si>
    <t>paye fourn</t>
  </si>
  <si>
    <t>paye fournisseur</t>
  </si>
  <si>
    <t>N°</t>
  </si>
  <si>
    <t>Date</t>
  </si>
  <si>
    <t>Ops cocontractan</t>
  </si>
  <si>
    <t>ACHATS HORS TVA</t>
  </si>
  <si>
    <t>LIVRE DES ENTREES (ACHATS)</t>
  </si>
  <si>
    <t>Vérification</t>
  </si>
  <si>
    <t>=</t>
  </si>
  <si>
    <t>////////</t>
  </si>
  <si>
    <t>Livraisons       intracom</t>
  </si>
  <si>
    <t>autres      ops</t>
  </si>
  <si>
    <t>notes de crédit</t>
  </si>
  <si>
    <t>TVA</t>
  </si>
  <si>
    <t>01</t>
  </si>
  <si>
    <t>02</t>
  </si>
  <si>
    <t>03</t>
  </si>
  <si>
    <t>Fournisseurs</t>
  </si>
  <si>
    <t>Nom et adresse du décrarant</t>
  </si>
  <si>
    <t>N° TVA du déclarant :</t>
  </si>
  <si>
    <t>Opérations soumises à un régime particulier</t>
  </si>
  <si>
    <t>A</t>
  </si>
  <si>
    <t>B</t>
  </si>
  <si>
    <t>Opérations pour lesquelles la TVA est due</t>
  </si>
  <si>
    <t>DECLARATION A LA TVA</t>
  </si>
  <si>
    <t>Période :</t>
  </si>
  <si>
    <t>Mois :</t>
  </si>
  <si>
    <t>Trimestre :</t>
  </si>
  <si>
    <t>demande de restitution:</t>
  </si>
  <si>
    <t>demade formulaire payement</t>
  </si>
  <si>
    <t>00</t>
  </si>
  <si>
    <t>- au taux de 6 p.c.</t>
  </si>
  <si>
    <t>- au taux de 21 p.c.</t>
  </si>
  <si>
    <t>- au taux de 12 p.c.</t>
  </si>
  <si>
    <t>C</t>
  </si>
  <si>
    <t>Services pour lesquels la TVA étrangère</t>
  </si>
  <si>
    <t>est due par le cocontractant</t>
  </si>
  <si>
    <t>44</t>
  </si>
  <si>
    <t>D</t>
  </si>
  <si>
    <t>par le cocontractant</t>
  </si>
  <si>
    <t>45</t>
  </si>
  <si>
    <t>E</t>
  </si>
  <si>
    <t>Livraisons intracommunautaires exemptées</t>
  </si>
  <si>
    <t>effectuées en Belgique et ventes ABC</t>
  </si>
  <si>
    <t>46</t>
  </si>
  <si>
    <t>47</t>
  </si>
  <si>
    <t>F</t>
  </si>
  <si>
    <t>Autres opérations exemptées et autres</t>
  </si>
  <si>
    <t>opérations effectuées à l'étranger</t>
  </si>
  <si>
    <t>G</t>
  </si>
  <si>
    <t>Montant des notes de crédit délivrées et des</t>
  </si>
  <si>
    <t>corrections négatives</t>
  </si>
  <si>
    <t>-relatif aux opérations inscrites en grille 44 et 46</t>
  </si>
  <si>
    <t>-relatif aux autres opérations du cadre II</t>
  </si>
  <si>
    <t>48</t>
  </si>
  <si>
    <t>49</t>
  </si>
  <si>
    <t>Renseignements Généraux</t>
  </si>
  <si>
    <t>OPERATION A LA SORTIE                                II</t>
  </si>
  <si>
    <t>Montant des opérations à l'entrée compte tenu</t>
  </si>
  <si>
    <t>des notes de crédit reçues et autres corrections :</t>
  </si>
  <si>
    <t>- marchandises, matières premières et matières</t>
  </si>
  <si>
    <t>auxiliaires</t>
  </si>
  <si>
    <t>81</t>
  </si>
  <si>
    <t>82</t>
  </si>
  <si>
    <t>- services et biens divers</t>
  </si>
  <si>
    <t>- biens d'investissements</t>
  </si>
  <si>
    <t>83</t>
  </si>
  <si>
    <t>Montant des notes de crédit reçuess et des</t>
  </si>
  <si>
    <t>corrections négatives :</t>
  </si>
  <si>
    <t>- relatif aux opérations inscrites en grilles 86 et 88</t>
  </si>
  <si>
    <t>Acquisitions intracommunautaires effectuées</t>
  </si>
  <si>
    <t>en Belgique et ventes ABC</t>
  </si>
  <si>
    <t>Autres opérations à l'entrée pour lesquelles</t>
  </si>
  <si>
    <t>la TVA est due par le déclarant</t>
  </si>
  <si>
    <t>de perception</t>
  </si>
  <si>
    <t>84</t>
  </si>
  <si>
    <t>- relatif aux autres opérations du cadre III</t>
  </si>
  <si>
    <t>85</t>
  </si>
  <si>
    <t>86</t>
  </si>
  <si>
    <t>87</t>
  </si>
  <si>
    <t>88</t>
  </si>
  <si>
    <t>OPERATION A L'ENTREE                                III</t>
  </si>
  <si>
    <t>BE0</t>
  </si>
  <si>
    <t>TVA relative aux opérations déclaréess en :</t>
  </si>
  <si>
    <t>- grilles 01, 02, 03</t>
  </si>
  <si>
    <t>- grilles 86 et 88</t>
  </si>
  <si>
    <t>- grille 87, à l'exception des importations</t>
  </si>
  <si>
    <t>avec report de perception</t>
  </si>
  <si>
    <t>TVA relative aux importations avec report</t>
  </si>
  <si>
    <t>TVA à récupérer mentionnée sur notes de</t>
  </si>
  <si>
    <t>crédit délivrées</t>
  </si>
  <si>
    <t>Diverses régularisations TVA en faveur de l'Etat</t>
  </si>
  <si>
    <t>A ne pas complèter</t>
  </si>
  <si>
    <t>Total des grilles 54 ,55, 56, 57, 61, 63</t>
  </si>
  <si>
    <t>TVA déductible</t>
  </si>
  <si>
    <t>Diverses régularisations TVA en faveur du déclarant</t>
  </si>
  <si>
    <t>TVA à récupérer mentionnée sur les notes de crédit délivrées</t>
  </si>
  <si>
    <t>A ne pas compléter</t>
  </si>
  <si>
    <t>Total des grilles 59, 62, 64</t>
  </si>
  <si>
    <t>Une seule des deux grilles peut-être remplie</t>
  </si>
  <si>
    <t>Taxe due à l'Etat : grille XX - grille YY</t>
  </si>
  <si>
    <t>TVA réellement due pour la période du 1er au 20 décembre</t>
  </si>
  <si>
    <t>Concerne uniquement la déclaration</t>
  </si>
  <si>
    <t>de l'année civile ou celle relative à la cessation d'activité</t>
  </si>
  <si>
    <t>Pas de clients à reprendre sur le listing des clients (case à cocher par une croix)</t>
  </si>
  <si>
    <t>Déclaration certifiée sincère et complète</t>
  </si>
  <si>
    <t>Nom, qualité et numéro de téléphone du (des)</t>
  </si>
  <si>
    <t>signataires :</t>
  </si>
  <si>
    <t>Date :</t>
  </si>
  <si>
    <t>Signature</t>
  </si>
  <si>
    <t>Cadre réservé à l'administration</t>
  </si>
  <si>
    <t>1</t>
  </si>
  <si>
    <t>AB</t>
  </si>
  <si>
    <t>jour</t>
  </si>
  <si>
    <t>mois</t>
  </si>
  <si>
    <t>année</t>
  </si>
  <si>
    <t>2</t>
  </si>
  <si>
    <t>0</t>
  </si>
  <si>
    <t>CD</t>
  </si>
  <si>
    <t>Cde</t>
  </si>
  <si>
    <t>PERIODE</t>
  </si>
  <si>
    <t>TAXES DUES                    IV</t>
  </si>
  <si>
    <t>TAXES DEDUCTIBLES           V</t>
  </si>
  <si>
    <t>SOLDES   VI</t>
  </si>
  <si>
    <t>ACOMPTE  VII</t>
  </si>
  <si>
    <t>Liste clients néant VIII</t>
  </si>
  <si>
    <t>DATE &amp; SIGNATURE     IX</t>
  </si>
  <si>
    <t>P2</t>
  </si>
  <si>
    <t>Concerne uniquement la déclaration mensuelle de décembre</t>
  </si>
  <si>
    <t>54</t>
  </si>
  <si>
    <t>55</t>
  </si>
  <si>
    <t>56</t>
  </si>
  <si>
    <t>Sommes dues par l'Etat : grille YY - grille XX</t>
  </si>
  <si>
    <t>57</t>
  </si>
  <si>
    <t>61</t>
  </si>
  <si>
    <t>63</t>
  </si>
  <si>
    <t>XX</t>
  </si>
  <si>
    <t>65</t>
  </si>
  <si>
    <t>59</t>
  </si>
  <si>
    <t>62</t>
  </si>
  <si>
    <t>64</t>
  </si>
  <si>
    <t>66</t>
  </si>
  <si>
    <t>YY</t>
  </si>
  <si>
    <t>71</t>
  </si>
  <si>
    <t>72</t>
  </si>
  <si>
    <t>91</t>
  </si>
  <si>
    <t xml:space="preserve">Services intracommunautaires avec report </t>
  </si>
  <si>
    <t>Belgacom</t>
  </si>
  <si>
    <t>machine</t>
  </si>
  <si>
    <t>mobilier</t>
  </si>
  <si>
    <t>client</t>
  </si>
  <si>
    <t>Banque</t>
  </si>
  <si>
    <t>Stocks</t>
  </si>
  <si>
    <t>caisse</t>
  </si>
  <si>
    <t>Entre. Répar.</t>
  </si>
  <si>
    <t>Pub.</t>
  </si>
  <si>
    <t>8</t>
  </si>
  <si>
    <t>Livres</t>
  </si>
  <si>
    <t>voiture</t>
  </si>
  <si>
    <t>"=SI(OU('Val-Départ'!$E$26="mobilier";'Val-Départ'!$E$26="outillage";'Val-Départ'!$E$26="machine";'Val-Départ'!$E$26="");" ";RECHERCHEV('Val-Départ'!$E$26;'Val-Départ'!$E$26:$H$26;3;FAUX))"</t>
  </si>
  <si>
    <t>"=SI(('Val-Départ'!$E$27="");"";RECHERCHEV('Val-Départ'!$E$27;'Val-Départ'!$E$27:$H$27;4;FAUX))"</t>
  </si>
  <si>
    <t>Formules utilisées pour TVA achats les "" au début et à la fin veut dire formule en modeTEXTE</t>
  </si>
  <si>
    <t>Fourmule utilisée pour Achats fournisseurs  (les "" au début et à la fin veut dire formule en mode texte)</t>
  </si>
  <si>
    <t>VOIR  case dans  Gr li ACT-PAS</t>
  </si>
  <si>
    <t xml:space="preserve"> Mobilier - outillage - Machine</t>
  </si>
  <si>
    <t>directement dans les bonnes cases</t>
  </si>
  <si>
    <t>la fonction RECHERCHEV permet de placer</t>
  </si>
  <si>
    <t>C-</t>
  </si>
  <si>
    <t>D+</t>
  </si>
  <si>
    <t xml:space="preserve"> dans compte résultat 700</t>
  </si>
  <si>
    <t>dans compte résultat 600</t>
  </si>
  <si>
    <t>SC</t>
  </si>
  <si>
    <t>sd</t>
  </si>
  <si>
    <t>c</t>
  </si>
  <si>
    <t>d</t>
  </si>
  <si>
    <t>C+</t>
  </si>
  <si>
    <t>Vente Mach</t>
  </si>
  <si>
    <t>D-</t>
  </si>
  <si>
    <t>TVA récup.</t>
  </si>
  <si>
    <t>Achat march</t>
  </si>
  <si>
    <t>CLIENTS</t>
  </si>
  <si>
    <t>FOURNISSEURS</t>
  </si>
  <si>
    <t>achats</t>
  </si>
  <si>
    <t>solde passif</t>
  </si>
  <si>
    <t>solde actif</t>
  </si>
  <si>
    <t>SD</t>
  </si>
  <si>
    <t>tva achats</t>
  </si>
  <si>
    <t>ventes</t>
  </si>
  <si>
    <t>xxxxxxxxxxx</t>
  </si>
  <si>
    <t>vi</t>
  </si>
  <si>
    <t>xxxxxxxxxx</t>
  </si>
  <si>
    <t>Jour-finan-Bq</t>
  </si>
  <si>
    <t>Jour finan-Bq</t>
  </si>
  <si>
    <t>xxxxxxxxx</t>
  </si>
  <si>
    <t>Fournisseur</t>
  </si>
  <si>
    <t>Valeur de départ</t>
  </si>
  <si>
    <t>fact fourn</t>
  </si>
  <si>
    <t>Fact clients</t>
  </si>
  <si>
    <t>jour achats (fourn)</t>
  </si>
  <si>
    <t>Jour-finan-Fourn</t>
  </si>
  <si>
    <t>Mobilier</t>
  </si>
  <si>
    <t>1395,67 est trouvé par :  =rechercheV(E19;'Val-Départ'!E25:H32;2;FAUX)</t>
  </si>
  <si>
    <t>1395,67 sera donc à la 2ème case</t>
  </si>
  <si>
    <t>recherche concidèrera (mobilier)  comme 1er case</t>
  </si>
  <si>
    <r>
      <t>Si je fais</t>
    </r>
    <r>
      <rPr>
        <b/>
        <sz val="11"/>
        <color theme="1"/>
        <rFont val="Times New Roman"/>
        <family val="2"/>
        <scheme val="minor"/>
      </rPr>
      <t xml:space="preserve"> </t>
    </r>
    <r>
      <rPr>
        <b/>
        <u val="singleAccounting"/>
        <sz val="11"/>
        <color theme="1"/>
        <rFont val="Times New Roman"/>
        <family val="2"/>
        <scheme val="minor"/>
      </rPr>
      <t>RECHERCHEV</t>
    </r>
    <r>
      <rPr>
        <sz val="11"/>
        <color theme="1"/>
        <rFont val="Times New Roman"/>
        <family val="2"/>
        <scheme val="minor"/>
      </rPr>
      <t xml:space="preserve"> à partir du mot &lt;&lt;mobilier&gt;&gt; de la  case </t>
    </r>
    <r>
      <rPr>
        <b/>
        <sz val="11"/>
        <color rgb="FFFF0000"/>
        <rFont val="Times New Roman"/>
        <family val="2"/>
        <scheme val="minor"/>
      </rPr>
      <t>E19</t>
    </r>
  </si>
  <si>
    <t>xxxxxxx</t>
  </si>
  <si>
    <t>xxxxxxxx</t>
  </si>
  <si>
    <t>Capital</t>
  </si>
  <si>
    <t>Outillage</t>
  </si>
  <si>
    <t>GRAND Livre compte PASSIF</t>
  </si>
  <si>
    <t>GRAND livre  compte ACTIF</t>
  </si>
  <si>
    <t>nom</t>
  </si>
  <si>
    <t>code</t>
  </si>
  <si>
    <t>Habot</t>
  </si>
  <si>
    <t>Fossoul</t>
  </si>
  <si>
    <t>Bille</t>
  </si>
  <si>
    <t>Piper</t>
  </si>
  <si>
    <t>Export.</t>
  </si>
  <si>
    <t>Belot</t>
  </si>
  <si>
    <t>Coppus</t>
  </si>
  <si>
    <t>Mac donald</t>
  </si>
  <si>
    <t>15</t>
  </si>
  <si>
    <t>16</t>
  </si>
  <si>
    <t>17</t>
  </si>
  <si>
    <t>18</t>
  </si>
  <si>
    <t>19</t>
  </si>
  <si>
    <t>20</t>
  </si>
  <si>
    <t>21</t>
  </si>
  <si>
    <t>23</t>
  </si>
  <si>
    <t>TVA  due</t>
  </si>
  <si>
    <t>entret.voit.</t>
  </si>
  <si>
    <t>nc2</t>
  </si>
  <si>
    <t>Intracomm.</t>
  </si>
  <si>
    <t>Emballage</t>
  </si>
  <si>
    <t>LIVRE DES  VENTES (CLIENTS)</t>
  </si>
  <si>
    <t>autres      ops exportation</t>
  </si>
  <si>
    <t>dues sur total 0´% + 6%+ 12% + 21%</t>
  </si>
  <si>
    <t>déduction sur NC sur ventes</t>
  </si>
  <si>
    <t>marchandises et biens divers</t>
  </si>
  <si>
    <t>Note de crédit ruçues</t>
  </si>
  <si>
    <t>Acquisitions intracommun</t>
  </si>
  <si>
    <t>Autres opérations</t>
  </si>
  <si>
    <t>Privé</t>
  </si>
  <si>
    <t>Importations (HORS CE)</t>
  </si>
  <si>
    <t>(59)451020</t>
  </si>
  <si>
    <t>(59)451030</t>
  </si>
  <si>
    <t>TVA à acquiter par le cocontractant  art 20</t>
  </si>
  <si>
    <t>Factures exenptées  de TVA</t>
  </si>
  <si>
    <t>dues/ops cocontractant</t>
  </si>
  <si>
    <t>dues   NC   reçues</t>
  </si>
  <si>
    <t>MONTANTS DES TVA DUES</t>
  </si>
  <si>
    <t>Services  biens divers</t>
  </si>
  <si>
    <t>investis        sement</t>
  </si>
  <si>
    <t>acquisition. Intracomm</t>
  </si>
  <si>
    <t>Travaux immobiliers</t>
  </si>
  <si>
    <t>comptes de 600 à 608 NdeC</t>
  </si>
  <si>
    <t>intracomm.</t>
  </si>
  <si>
    <t>Opérations (montants hors TVA) pour lesquelles le déclarant est tenu au payement de la TVA</t>
  </si>
  <si>
    <t>due/acquisition  intra-comm</t>
  </si>
  <si>
    <t>22</t>
  </si>
  <si>
    <t>Marchandises</t>
  </si>
  <si>
    <t>montant</t>
  </si>
  <si>
    <t>avance tva</t>
  </si>
  <si>
    <t>Acompte TVA</t>
  </si>
  <si>
    <t>451030</t>
  </si>
  <si>
    <t>4514</t>
  </si>
  <si>
    <t>4119</t>
  </si>
  <si>
    <t>4110</t>
  </si>
  <si>
    <t>4114</t>
  </si>
  <si>
    <t>4117</t>
  </si>
  <si>
    <t>TVA intracom.</t>
  </si>
  <si>
    <t>Accomptes versées</t>
  </si>
  <si>
    <t>Compte banque</t>
  </si>
  <si>
    <t>TVA entret.immo.</t>
  </si>
  <si>
    <t>TVA due NC/fourn</t>
  </si>
  <si>
    <t>TVA à récup.</t>
  </si>
  <si>
    <t>cocontractant</t>
  </si>
  <si>
    <t>import</t>
  </si>
  <si>
    <t>TVA à récup. Sur N/C ventes  (clients</t>
  </si>
  <si>
    <t>Acompte versée sut TVA</t>
  </si>
  <si>
    <t>Compte courant adm TVA</t>
  </si>
  <si>
    <t>TVA à rembourser</t>
  </si>
  <si>
    <t xml:space="preserve">TVA due  </t>
  </si>
  <si>
    <t>TVA due intracomm. Sur biens</t>
  </si>
  <si>
    <t>TVA due sur N/C achats</t>
  </si>
  <si>
    <t>TVA due intracomm. Sur service</t>
  </si>
  <si>
    <t>TVA due sur importation</t>
  </si>
  <si>
    <t>4519</t>
  </si>
  <si>
    <t>marchandises</t>
  </si>
  <si>
    <t>services et biens</t>
  </si>
  <si>
    <t>somme des -</t>
  </si>
  <si>
    <t>Total</t>
  </si>
  <si>
    <t>somme des +</t>
  </si>
  <si>
    <t>+(81)</t>
  </si>
  <si>
    <t>+(82)</t>
  </si>
  <si>
    <t>+(83)</t>
  </si>
  <si>
    <t>+(59)</t>
  </si>
  <si>
    <t>(85)</t>
  </si>
  <si>
    <t>(87)</t>
  </si>
  <si>
    <t>-(55)</t>
  </si>
  <si>
    <t>-(56)</t>
  </si>
  <si>
    <t>(57)</t>
  </si>
  <si>
    <t>-(63)</t>
  </si>
  <si>
    <t>//// (86)  ////</t>
  </si>
  <si>
    <t>E+</t>
  </si>
  <si>
    <t>E-</t>
  </si>
  <si>
    <t>+(01)</t>
  </si>
  <si>
    <t>+(02)</t>
  </si>
  <si>
    <t>+(03)</t>
  </si>
  <si>
    <t>+(45)</t>
  </si>
  <si>
    <t>+(46)</t>
  </si>
  <si>
    <t>+(47)</t>
  </si>
  <si>
    <t>-(48)</t>
  </si>
  <si>
    <t>-(49)</t>
  </si>
  <si>
    <t>+(54)</t>
  </si>
  <si>
    <t>-(64)</t>
  </si>
  <si>
    <t>S(+)</t>
  </si>
  <si>
    <t>S(-)</t>
  </si>
  <si>
    <t>LIVRE de compte CLIENTS ET FOURNISSEURS</t>
  </si>
  <si>
    <t>LIVRE compte clients</t>
  </si>
  <si>
    <t>LIVRE Compte  fournisseurs</t>
  </si>
  <si>
    <t>Attention pour déterminer le code client exem : C0001</t>
  </si>
  <si>
    <t>la formule doit être sous forme de matrice c-à-d avec {}</t>
  </si>
  <si>
    <t>il faut le signe {} en début et fin, via  touche (crtr+shift+enter)</t>
  </si>
  <si>
    <t>NE PAS FAIRE ENTER après les {} cliquer sur une autre cellule</t>
  </si>
  <si>
    <t>Ext-Banq</t>
  </si>
  <si>
    <t>Fournisseur2</t>
  </si>
  <si>
    <t>Fournisseur3</t>
  </si>
  <si>
    <t>Fournisseur4</t>
  </si>
  <si>
    <t>Motes credits</t>
  </si>
  <si>
    <t>Ref pr index</t>
  </si>
  <si>
    <t>achats HTVA</t>
  </si>
  <si>
    <t>TVA/réd</t>
  </si>
  <si>
    <t>Entret./M.R.</t>
  </si>
  <si>
    <t>Tjrs vérifier les accollades en début de INDEX !!!!</t>
  </si>
  <si>
    <t>C'est ce qui regroupe les mêmes n° clients ou fournisseurs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</si>
  <si>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</si>
  <si>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</si>
  <si>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</si>
  <si>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</si>
  <si>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</si>
  <si>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</si>
  <si>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</si>
  <si>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</si>
  <si>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</si>
  <si>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nc</t>
  </si>
  <si>
    <t>RECHERCHEV('Val-Départ'!F13;'Val-Départ'!F13:V13;14;FAUX )</t>
  </si>
  <si>
    <t>TVA clients</t>
  </si>
  <si>
    <t>OK</t>
  </si>
  <si>
    <t>Solde Créditeur</t>
  </si>
  <si>
    <t>Solde Débiteur</t>
  </si>
  <si>
    <t>Total Débit</t>
  </si>
  <si>
    <t>Nom</t>
  </si>
  <si>
    <t>Balance Fourniseur</t>
  </si>
  <si>
    <t>Numéro client</t>
  </si>
  <si>
    <t>Balance Client</t>
  </si>
  <si>
    <t xml:space="preserve">   </t>
  </si>
  <si>
    <t>699 - Produits - Report en arrière des déficits</t>
  </si>
  <si>
    <t>6989 - Intégration fiscale - Produits</t>
  </si>
  <si>
    <t>6981 - Intégration fiscale - Charges</t>
  </si>
  <si>
    <t>698 - Intégration fiscale</t>
  </si>
  <si>
    <t>696 - Suppléments d’impôt sur les sociétés liés aux distributions</t>
  </si>
  <si>
    <t>6954 - Impôts dus à l’étranger</t>
  </si>
  <si>
    <t>6952 - Contribution additionnelle à l’impôt sur les bénéfices</t>
  </si>
  <si>
    <t>6951 - Impôts dus en France</t>
  </si>
  <si>
    <t>695 - Impôts sur les bénéfices</t>
  </si>
  <si>
    <t>691 - Participation des salariés aux résultats</t>
  </si>
  <si>
    <t>69 - PARTICIPATION DES SALARIES - IMPÔTS SUR LES BENEFICES ET ASSIMILES</t>
  </si>
  <si>
    <t>6876 - Dotations aux dépréciations exceptionnelles (Règlement n°2002-10 du CRC)</t>
  </si>
  <si>
    <t>6875 - Dotations aux provisions exceptionnelles (Règlement n°2005-09 du CRC)</t>
  </si>
  <si>
    <t>6874 - Dotations aux autres provisions réglementées</t>
  </si>
  <si>
    <t>6873 - Dotations aux provisions réglementées (stocks)</t>
  </si>
  <si>
    <t>68725 - Amortissements dérogatoires</t>
  </si>
  <si>
    <t>6872 - Dotations aux provisions réglementées (immobilisations)</t>
  </si>
  <si>
    <t>6871 - Dotations aux amortissements exceptionnels des immobilisations</t>
  </si>
  <si>
    <t>687 - Dotations aux amortissements dépréciations et provisions - Charges exceptionnelles – (Règlement n°2005-09 du CRC)</t>
  </si>
  <si>
    <t>6868 - Autres dotations</t>
  </si>
  <si>
    <t>68665 - Valeurs mobilières de placement</t>
  </si>
  <si>
    <t>68662 - Immobilisations financières</t>
  </si>
  <si>
    <t>6866 - Dotations aux dépréciations des éléments financiers (Règlement n°2005-09 du CRC)</t>
  </si>
  <si>
    <t>6865 - Dotations aux provisions financières – (Règlement n°2005-09 du CRC)</t>
  </si>
  <si>
    <t>6861 - Dotations aux amortissements des primes de remboursement des obligations</t>
  </si>
  <si>
    <t>686 - Dotations aux amortissements, dépréciations et provisions - Charges financières – (Règlement n°2005-09 du CRC)</t>
  </si>
  <si>
    <t>68174 - Créances</t>
  </si>
  <si>
    <t>68173 - Stocks et en-cours</t>
  </si>
  <si>
    <t>6817 - Dotations aux dépréciations des actifs circulants (Règlement n°2005-09 du CRC)</t>
  </si>
  <si>
    <t>68162 - Immobilisations corporelles</t>
  </si>
  <si>
    <t>68161 - Immobilisations incorporelles</t>
  </si>
  <si>
    <t>6816 - Dotations aux dépréciations des immobilisations incorporelles et corporelles (Règlement n°2002-10 du CRC)</t>
  </si>
  <si>
    <t>6815 - Dotations aux provisions d’exploitation (Règlement n°2005-09 du CRC)</t>
  </si>
  <si>
    <t>6812 - Dotations aux amortissements des charges d’exploitation à répartir</t>
  </si>
  <si>
    <t>68112 - Immobilisations corporelles</t>
  </si>
  <si>
    <t>68111 - Immobilisations incorporelles</t>
  </si>
  <si>
    <t>6811 - Dotations aux amortissements sur immobilisations incorporelles et corporelles</t>
  </si>
  <si>
    <t>681 - Dotations aux amortissements, dépréciations et provisions - Charges d’exploitation – (Règlement n°2005-09 du CRC)</t>
  </si>
  <si>
    <t>68 - DOTATIONS AUX AMORTISSEMENTS, DÉPRECIATIONS ET PROVISIONS (Règlement n°2005-09 du CRC)</t>
  </si>
  <si>
    <t>6788 - Charges exceptionnelles diverses</t>
  </si>
  <si>
    <t>6783 - Malis provenant du rachat par l’entreprise d’actions et obligations émises par elle-même</t>
  </si>
  <si>
    <t>6782 - Lots</t>
  </si>
  <si>
    <t>6781 - Malis provenant de clauses d’indexation</t>
  </si>
  <si>
    <t>678 - Autres charges exceptionnelles</t>
  </si>
  <si>
    <t>6758 - Autres éléments d’actif</t>
  </si>
  <si>
    <t>6756 - Immobilisations financières</t>
  </si>
  <si>
    <t>6752 - Immobilisations corporelles</t>
  </si>
  <si>
    <t>6751 - Immobilisations incorporelles</t>
  </si>
  <si>
    <t>675 - Valeurs comptables des éléments d’actif cédés</t>
  </si>
  <si>
    <t>6742 - Opérations liées à la liquidation de la fiducie</t>
  </si>
  <si>
    <t>6741 - Opérations liées à la constitution de la fiducie - transfert des éléments</t>
  </si>
  <si>
    <t>674 - Opérations de constitution ou liquidation des fiducies</t>
  </si>
  <si>
    <t>672 - (Compte à la disposition des entités pour enregistrer, en cours d’exercice, les charges sur exercices antérieurs)</t>
  </si>
  <si>
    <t>6718 - Autres charges exceptionnelles sur opérations de gestion</t>
  </si>
  <si>
    <t>6717 - Rappel d’impôts (autres qu’impôts sur les bénéfices)</t>
  </si>
  <si>
    <t>6715 - Subventions accordées</t>
  </si>
  <si>
    <t>6714 - Créances devenues irrécouvrables dans l’exercice</t>
  </si>
  <si>
    <t>6713 - Dons, libéralités</t>
  </si>
  <si>
    <t>6712 - Pénalités, amendes fiscales et pénales</t>
  </si>
  <si>
    <t>6711 - Pénalités sur marchés (et dédits payés sur achats et ventes)</t>
  </si>
  <si>
    <t>671 - Charges exceptionnelles sur opérations de gestion</t>
  </si>
  <si>
    <t>67 - CHARGES EXCEPTIONNELLES</t>
  </si>
  <si>
    <t>668 - Autres charges financières</t>
  </si>
  <si>
    <t>667 - Charges nettes sur cessions de valeurs mobilières de placement</t>
  </si>
  <si>
    <t>666 - Pertes de change</t>
  </si>
  <si>
    <t>665 - Escomptes accordés</t>
  </si>
  <si>
    <t>664 - Pertes sur créances liées à des participations</t>
  </si>
  <si>
    <t>66188 - des dettes diverses</t>
  </si>
  <si>
    <t>66181 - des dettes commerciales</t>
  </si>
  <si>
    <t>6618 - Intérêts des autres dettes</t>
  </si>
  <si>
    <t>6617 - Intérêts des obligations cautionnées</t>
  </si>
  <si>
    <t>6616 - Intérêts bancaires et sur opérations de financement (escompte,...)</t>
  </si>
  <si>
    <t>6615 - Intérêts des comptes courants et des dépôts créditeurs</t>
  </si>
  <si>
    <t>6612 - Charges de la fiducie, résultat de la période</t>
  </si>
  <si>
    <t>66117 - des dettes rattachées à des participations</t>
  </si>
  <si>
    <t>66116 - des emprunts et dettes assimilées</t>
  </si>
  <si>
    <t>6611 - Intérêts des emprunts et dettes</t>
  </si>
  <si>
    <t>661 - Charges d’intérêts</t>
  </si>
  <si>
    <t>66 - CHARGES FINANCIERES</t>
  </si>
  <si>
    <t>658 - Charges diverses de gestion courante</t>
  </si>
  <si>
    <t>6555 - Quote-part de perte supportée (comptabilité des associés non gérants)</t>
  </si>
  <si>
    <t>6551 - Quote-part de bénéfice transférée (comptabilité du gérant)</t>
  </si>
  <si>
    <t>655 - Quotes-parts de résultat sur opérations faites en commun</t>
  </si>
  <si>
    <t>6544 - Créances des exercices antérieurs</t>
  </si>
  <si>
    <t>6541 - Créances de l’exercice</t>
  </si>
  <si>
    <t>654 - Pertes sur créances irrécouvrables</t>
  </si>
  <si>
    <t>653 - Jetons de présence</t>
  </si>
  <si>
    <t>6518 - Autres droits et valeurs similaires</t>
  </si>
  <si>
    <t>6516 - Droits d’auteur et de reproduction</t>
  </si>
  <si>
    <t>6511 - Redevances pour concessions, brevets, licences, marques, procédés, logiciels</t>
  </si>
  <si>
    <t>651 - Redevances pour concessions, brevets, licences, marques, procédés, logiciels, droits et valeurs similaires</t>
  </si>
  <si>
    <t>65 - AUTRES CHARGES DE GESTION COURANTE</t>
  </si>
  <si>
    <t>648 - Autres charges de personnel</t>
  </si>
  <si>
    <t>6475 - Médecine du travail, pharmacie</t>
  </si>
  <si>
    <t>6474 - Versements aux autres oeuvres sociales</t>
  </si>
  <si>
    <t>6473 – Versements aux comités d’hygiène et de sécurité</t>
  </si>
  <si>
    <t>6472 - Versements aux comités d’entreprise et d’établissement</t>
  </si>
  <si>
    <t>6471 - Prestations directes</t>
  </si>
  <si>
    <t>647 - Autres charges sociales</t>
  </si>
  <si>
    <t>646 - Cotisations sociales personnelles de l’exploitant</t>
  </si>
  <si>
    <t>6458 - Cotisations aux autres organismes sociaux</t>
  </si>
  <si>
    <t>6454 - Cotisations aux ASSEDIC</t>
  </si>
  <si>
    <t>2976 - Autres créances immobilisées (même ventilation que celle du compte 276)</t>
  </si>
  <si>
    <t>6453 - Cotisations aux caisses de retraites</t>
  </si>
  <si>
    <t>2975 - Dépôts et cautionnements versés (même ventilation que celle du compte 275)</t>
  </si>
  <si>
    <t>6452 - Cotisations aux mutuelles</t>
  </si>
  <si>
    <t>2974 - Prêts (même ventilation que celle du compte 274)</t>
  </si>
  <si>
    <t>6451 - Cotisations à l’URSSAF</t>
  </si>
  <si>
    <t>2973 - Titres immobilisés de l’activité de portefeuille</t>
  </si>
  <si>
    <t>645 - Charges de sécurité sociale et de prévoyance</t>
  </si>
  <si>
    <t>4967 - Autres comptes débiteurs</t>
  </si>
  <si>
    <t>2972 - Titres immobilisés, droit de créance (même ventilation que celle du compte 272)</t>
  </si>
  <si>
    <t>644 - Rémunération du travail de l’exploitant</t>
  </si>
  <si>
    <t>4965 - Créances sur cessions de valeurs mobilières de placement</t>
  </si>
  <si>
    <t>2971 - Titres immobilisés autres que les titres immobilisés de l’activité de portefeuille, droit de propriété (même ventilation que celle du compte 271)</t>
  </si>
  <si>
    <t>6415 - Supplément familial</t>
  </si>
  <si>
    <t>4962 - Créances sur cessions d’immobilisations</t>
  </si>
  <si>
    <t>297 - Dépréciations des autres immobilisations financières (Règlement n°2005-09 du CRC)</t>
  </si>
  <si>
    <t>6414 - Indemnités et avantages divers</t>
  </si>
  <si>
    <t>496 - Dépréciations des comptes de débiteurs divers (Règlement n°2005-09 du CRC)</t>
  </si>
  <si>
    <t>2968 - Créances rattachées à des sociétés en participation (même ventilation que celle du compte 268)</t>
  </si>
  <si>
    <t>6413 - Primes et gratifications</t>
  </si>
  <si>
    <t>4958 - Opérations faites en commun et en G.I.E.</t>
  </si>
  <si>
    <t>2967 - Créances rattachées à des participations (même ventilation que celle du compte 267)</t>
  </si>
  <si>
    <t>6412 - Congés payés</t>
  </si>
  <si>
    <t>4955 - Comptes courants des associés</t>
  </si>
  <si>
    <t>2966 - Autres formes de participation</t>
  </si>
  <si>
    <t>6411 - Salaires, appointements</t>
  </si>
  <si>
    <t>4951 - Comptes du groupe</t>
  </si>
  <si>
    <t>2961 - Titres de participation</t>
  </si>
  <si>
    <t>641 - Rémunérations du personnel</t>
  </si>
  <si>
    <t>495 - Dépréciations des comptes du groupe et des associés (Règlement n°2005-09 du CRC)</t>
  </si>
  <si>
    <t>296 - Dépréciations des participations et créances rattachées à des participations – (Règlement n°2005-09 du CRC)</t>
  </si>
  <si>
    <t>64 - CHARGES DE PERSONNEL</t>
  </si>
  <si>
    <t>491 - Dépréciations des comptes de clients – (Règlement n°2005-09 du CRC)</t>
  </si>
  <si>
    <t>2932 - Immobilisations incorporelles en cours</t>
  </si>
  <si>
    <t>6378 - Taxes diverses</t>
  </si>
  <si>
    <t>49 - DEPRECIATIONS DES COMPTES DE TIERS – (Règlement n°2005-09 du CRC)</t>
  </si>
  <si>
    <t>2931 - Immobilisations corporelles en cours</t>
  </si>
  <si>
    <t>6374 - Impôts et taxes exigibles à l’Étranger</t>
  </si>
  <si>
    <t>4887 - Produits</t>
  </si>
  <si>
    <t>293 - dépréciations des immobilisations en cours – (Règlement n°2002-10 du CRC)</t>
  </si>
  <si>
    <t>6372 - Taxes perçues par les organismes publics internationaux</t>
  </si>
  <si>
    <t>4886 - Charges</t>
  </si>
  <si>
    <t>292 - dépréciations des immobilisations mises en concession</t>
  </si>
  <si>
    <t>6371 - Contribution sociale de solidarité à la charge des sociétés</t>
  </si>
  <si>
    <t>488 - Comptes de répartition périodique des charges et des produits</t>
  </si>
  <si>
    <t>2911 – Terrains (autres que terrains de gisement)</t>
  </si>
  <si>
    <t>637 - Autres impôts, taxes et versements assimilés (autres organismes)</t>
  </si>
  <si>
    <t>487 - Produits constatés d’avance</t>
  </si>
  <si>
    <t>291 - dépréciations des immobilisations corporelles (même ventilation que celle du compte 21) – (Règlement n°2002-10 du CRC)</t>
  </si>
  <si>
    <t>6358 - Autres droits</t>
  </si>
  <si>
    <t>486 - Charges constatées d’avance</t>
  </si>
  <si>
    <t>2908 - Autres immobilisations incorporelles</t>
  </si>
  <si>
    <t>63541 - Droits de mutation</t>
  </si>
  <si>
    <t>4816 - Frais d’émission des emprunts</t>
  </si>
  <si>
    <t>2907 - Fonds commercial</t>
  </si>
  <si>
    <t>6354 - Droits d’enregistrement et de timbre</t>
  </si>
  <si>
    <t>481 - Charges à répartir sur plusieurs exercices – (Règlement n°2004-06 du CRC)</t>
  </si>
  <si>
    <t>2906 - Droit au bail</t>
  </si>
  <si>
    <t>6353 - Impôts indirects</t>
  </si>
  <si>
    <t>48 - COMPTES DE REGULARISATION</t>
  </si>
  <si>
    <t>2905 - Marques, procédés, droits et valeurs similaires</t>
  </si>
  <si>
    <t>6352 - Taxes sur le chiffre d’affaires non récupérables</t>
  </si>
  <si>
    <t>478 - Autres comptes transitoires</t>
  </si>
  <si>
    <t>290 - Dépréciations des immobilisations incorporelles</t>
  </si>
  <si>
    <t>63514 - Taxe sur les véhicules des sociétés</t>
  </si>
  <si>
    <t>4778 - Différences compensées par couverture de change</t>
  </si>
  <si>
    <t>29 - DÉPRÉCIATIONS DES IMMOBILISATIONS – (RÈGLEMENT N°2002-10 DU CRC)</t>
  </si>
  <si>
    <t>63513 - Autres impôts locaux</t>
  </si>
  <si>
    <t>4772 - Diminution des dettes</t>
  </si>
  <si>
    <t>282 – Amortissements des immobilisations mises en concession</t>
  </si>
  <si>
    <t>63512 - Taxes foncières</t>
  </si>
  <si>
    <t>4771 - Augmentation des créances</t>
  </si>
  <si>
    <t>2818 - Autres immobilisations corporelles (même ventilation que celle du compte 218)</t>
  </si>
  <si>
    <t>188 - Comptes de liaison des sociétés en participation</t>
  </si>
  <si>
    <t>63511 - Contribution économique territoriale</t>
  </si>
  <si>
    <t>477 - Différences de conversion - PASSIF</t>
  </si>
  <si>
    <t>2815 – Installations techniques, matériel et outillage industriels (même ventilation que celle du compte 215)</t>
  </si>
  <si>
    <t>187 - Biens et prestations de services échangés entre établissements (produits)</t>
  </si>
  <si>
    <t>797 - Transferts de charges exceptionnelles</t>
  </si>
  <si>
    <t>6351 - Impôts directs (sauf impôts sur les bénéfices)</t>
  </si>
  <si>
    <t>4768 - Différences compensées par couverture de change</t>
  </si>
  <si>
    <t>2814 - Constructions sur sol d’autrui (même ventilation que celle du compte 214)</t>
  </si>
  <si>
    <t>186 - Biens et prestations de services échangés entre établissements (charges)</t>
  </si>
  <si>
    <t>796 - Transferts de charges financières</t>
  </si>
  <si>
    <t>635 - Autres impôts, taxes et versements assimilés (administrations des impôts)</t>
  </si>
  <si>
    <t>4762 - Augmentation des dettes</t>
  </si>
  <si>
    <t>2813 - Constructions (même ventilation que celle du compte 213)</t>
  </si>
  <si>
    <t>181 - Comptes de liaison des établissements</t>
  </si>
  <si>
    <t>791 - Transferts de charges d’exploitation</t>
  </si>
  <si>
    <t>6338 - Autres</t>
  </si>
  <si>
    <t>4761 - Diminution des créances</t>
  </si>
  <si>
    <t>2812 - Agencements, aménagements de terrains (même ventilation que celle du compte 212)</t>
  </si>
  <si>
    <t>18 - COMPTES DE LIAISON DES ETABLISSEMENTS ET SOCIETES EN PARTICIPATION</t>
  </si>
  <si>
    <t>79 - TRANSFERTS DE CHARGES</t>
  </si>
  <si>
    <t>6335 - Versements libératoires ouvrant droit à l’exonération de la taxe d’apprentissage</t>
  </si>
  <si>
    <t>476 - Différence de conversion - ACTIF</t>
  </si>
  <si>
    <t>2811 - Terrains de gisement</t>
  </si>
  <si>
    <t>1788 - Intérêts courus</t>
  </si>
  <si>
    <t>7876 - Reprises sur dépréciations exceptionnelles (Règlement n°2002-10 du CRC)</t>
  </si>
  <si>
    <t>6334 - Participation des employeurs à l’effort de construction</t>
  </si>
  <si>
    <t>471 à 475 - Comptes d’attente</t>
  </si>
  <si>
    <t>281 - Amortissements des immobilisations corporelles</t>
  </si>
  <si>
    <t>1781 - Principal</t>
  </si>
  <si>
    <t>7875 - Reprises sur provisions exceptionnelles – (Règlement n°2005-09 du CRC)</t>
  </si>
  <si>
    <t>6333 - Participation des employeurs à la formation professionnelle continue</t>
  </si>
  <si>
    <t>47 - COMPTES TRANSITOIRES OU D’ATTENTE</t>
  </si>
  <si>
    <t>2808 - Autres immobilisations incorporelles</t>
  </si>
  <si>
    <t>178 - Dettes rattachées à des sociétés en participation</t>
  </si>
  <si>
    <t>7874 - Reprises sur autres provisions réglementées</t>
  </si>
  <si>
    <t>6332 - Allocations logement</t>
  </si>
  <si>
    <t>4687 - Produits à recevoir</t>
  </si>
  <si>
    <t>2807 - Fonds commercial</t>
  </si>
  <si>
    <t>174 - Dettes rattachées à des participations (hors groupe)</t>
  </si>
  <si>
    <t>7873 - Reprises sur provisions réglementées (stocks)</t>
  </si>
  <si>
    <t>6331 - Versement de transport</t>
  </si>
  <si>
    <t>4686 - Charges à payer</t>
  </si>
  <si>
    <t>2805 - Concessions et droits similaires, brevets, licences, logiciels, droits et valeurs similaires</t>
  </si>
  <si>
    <t>171 - Dettes rattachées à des participations (groupe)</t>
  </si>
  <si>
    <t>78727 - Plus-values réinvesties</t>
  </si>
  <si>
    <t>633 - Impôts, taxes et versements assimilés sur rémunérations (autres organismes)</t>
  </si>
  <si>
    <t>468 - Divers - Charges à payer et produits à recevoir</t>
  </si>
  <si>
    <t>2803 - Frais de recherche et de développement</t>
  </si>
  <si>
    <t>17 - DETTES RATTACHEES A DES PARTICIPATIONS</t>
  </si>
  <si>
    <t>78726 - Provision spéciale de réévaluation</t>
  </si>
  <si>
    <t>6318 - Autres</t>
  </si>
  <si>
    <t>467 - Autres comptes débiteurs ou créditeurs</t>
  </si>
  <si>
    <t>2801 - Frais d’établissement (même ventilation que celle du compte 201)</t>
  </si>
  <si>
    <t>169 - Primes de remboursement des obligations</t>
  </si>
  <si>
    <t>78725 - Amortissements dérogatoires</t>
  </si>
  <si>
    <t>6314 - Cotisation pour défaut d’investissement obligatoire dans la construction</t>
  </si>
  <si>
    <t>465 - Créances sur cessions de valeurs mobilières de placement</t>
  </si>
  <si>
    <t>280 - Amortissements des immobilisations incorporelles</t>
  </si>
  <si>
    <t>16888 - Sur autres emprunts et dettes assimilées</t>
  </si>
  <si>
    <t>7872 - Reprises sur provisions réglementées (immobilisations)</t>
  </si>
  <si>
    <t>6313 - Participation des employeurs à la formation professionnelle continue</t>
  </si>
  <si>
    <t>464 - Dettes sur acquisitions de valeurs mobilières de placement</t>
  </si>
  <si>
    <t>28 - AMORTISSEMENTS DES IMMOBILISATIONS</t>
  </si>
  <si>
    <t>16887 - Sur emprunts et dettes assortis de conditions particulières</t>
  </si>
  <si>
    <t>787 - Reprises sur dépréciations et provisions (à inscrire dans les produits exceptionnels) – (Règlement n°2005-09 du CRC)</t>
  </si>
  <si>
    <t>6312 - Taxe d’apprentissage</t>
  </si>
  <si>
    <t>462 - Créances sur cessions d’immobilisations</t>
  </si>
  <si>
    <t>279 - Versements restant à effectuer sur titres immobilisés non libérés</t>
  </si>
  <si>
    <t>16886 - Sur participation des salariés aux résultats</t>
  </si>
  <si>
    <t>78665 - Valeurs mobilières de placement</t>
  </si>
  <si>
    <t>6311 - Taxe sur les salaires</t>
  </si>
  <si>
    <t>46 - DÉBITEURS DIVERS ET CRÉDITEURS DIVERS</t>
  </si>
  <si>
    <t>2772 - Actions propres ou parts propres en voie d’annulation</t>
  </si>
  <si>
    <t>16885 - Sur dépôts et cautionnements reçus</t>
  </si>
  <si>
    <t>78662 - Immobilisations financières</t>
  </si>
  <si>
    <t>631 - Impôts, taxes et versements assimilés sur rémunérations (administrations des impôts)</t>
  </si>
  <si>
    <t>4588 - Intérêts courus</t>
  </si>
  <si>
    <t>2771 - Actions propres ou parts propres</t>
  </si>
  <si>
    <t>16884 - Sur emprunts auprès des établissements de crédit</t>
  </si>
  <si>
    <t>7866 - Reprises sur dépréciations des éléments financiers (Règlement n°2005-09 du CRC)</t>
  </si>
  <si>
    <t>63 - IMPOTS, TAXES ET VERSEMENTS ASSIMILES</t>
  </si>
  <si>
    <t>4581 - Opérations courantes</t>
  </si>
  <si>
    <t>277 - Actions propres ou parts propres</t>
  </si>
  <si>
    <t>16883 - Sur autres emprunts obligataires</t>
  </si>
  <si>
    <t>7865 - Reprises sur provisions financières – (Règlement n°2005-09 du CRC)</t>
  </si>
  <si>
    <t>629 - Rabais, remises et ristournes obtenus sur autres services extérieurs</t>
  </si>
  <si>
    <t>458 - Associés - Opérations faites en commun et en G.I.E.</t>
  </si>
  <si>
    <t>27688 - Sur créances diverses</t>
  </si>
  <si>
    <t>16881 - Sur emprunts obligataires convertibles</t>
  </si>
  <si>
    <t>786 - Reprises sur dépréciations et provisions (à inscrire dans les produits financiers) – (Règlement n°2005-09 du CRC)</t>
  </si>
  <si>
    <t>6284 - Frais de recrutement de personnel</t>
  </si>
  <si>
    <t>457 - Associés - Dividendes à payer</t>
  </si>
  <si>
    <t>27685 - Sur dépôts et cautionnements</t>
  </si>
  <si>
    <t>1688 - Intérêts courus</t>
  </si>
  <si>
    <t>78174 - Créances</t>
  </si>
  <si>
    <t>6281 - Concours divers (cotisations, ...)</t>
  </si>
  <si>
    <t>4567 - Associés - Capital à rembourser</t>
  </si>
  <si>
    <t>27684 - Sur prêts</t>
  </si>
  <si>
    <t>1687 - Autres dettes</t>
  </si>
  <si>
    <t>78173 - Stocks et en-cours</t>
  </si>
  <si>
    <t>628 - Divers</t>
  </si>
  <si>
    <t>4566 - Actionnaires défaillants</t>
  </si>
  <si>
    <t>27682 - Sur titres immobilisés (droit de créance)</t>
  </si>
  <si>
    <t>1685 - Rentes viagères capitalisées</t>
  </si>
  <si>
    <t>7817 - Reprises sur dépréciations des actifs circulants (Règlement n°2005-09 du CRC)</t>
  </si>
  <si>
    <t>6278 - Autres frais et commissions sur prestations de services</t>
  </si>
  <si>
    <t>4564 - Associés - Versements anticipés</t>
  </si>
  <si>
    <t>2768 - Intérêts courus</t>
  </si>
  <si>
    <t>1681 - Autres emprunts</t>
  </si>
  <si>
    <t>78162 - Immobilisations corporelles</t>
  </si>
  <si>
    <t>6276 - Location de coffres</t>
  </si>
  <si>
    <t>4563 - Associés - Versements reçus sur augmentation de capital</t>
  </si>
  <si>
    <t>2761 - Créances diverses</t>
  </si>
  <si>
    <t>168 - Autres emprunts et dettes assimilées</t>
  </si>
  <si>
    <t>78161 - Immobilisations incorporelles</t>
  </si>
  <si>
    <t>6275 - Frais sur effets</t>
  </si>
  <si>
    <t>45625 - Associés - Capital appelé, non versé</t>
  </si>
  <si>
    <t>276 - Autres créances immobilisées</t>
  </si>
  <si>
    <t>1675 - Emprunts participatifs</t>
  </si>
  <si>
    <t>7816 - Reprises sur dépréciations des immobilisations corporelles et incorporelles – (Règlement n°2002-10 du CRC)</t>
  </si>
  <si>
    <t>6272 - Commissions et frais sur émission d’emprunts</t>
  </si>
  <si>
    <t>45621 - Actionnaires - Capital souscrit et appelé, non versé</t>
  </si>
  <si>
    <t>2755 - Cautionnements</t>
  </si>
  <si>
    <t>1674 - Avances conditionnées de l’État</t>
  </si>
  <si>
    <t>7815 - Reprises sur provisions d’exploitation (Règlement n°2005-09 du CRC)</t>
  </si>
  <si>
    <t>6271 - Frais sur titres (achat, vente, garde)</t>
  </si>
  <si>
    <t>4562 - Apporteurs - Capital appelé, non versé</t>
  </si>
  <si>
    <t>2751 - Dépôts</t>
  </si>
  <si>
    <t>1671 - Émissions de titres participatifs</t>
  </si>
  <si>
    <t>78112 - Immobilisations corporelles</t>
  </si>
  <si>
    <t>627 - Services bancaires et assimilés</t>
  </si>
  <si>
    <t>45615 - Apports en numéraire</t>
  </si>
  <si>
    <t>275 - Dépôts et cautionnements versés</t>
  </si>
  <si>
    <t>167 - Emprunts et dettes assortis de conditions particulières</t>
  </si>
  <si>
    <t>78111 - Immobilisations incorporelles</t>
  </si>
  <si>
    <t>626 - Frais postaux et de télécommunications</t>
  </si>
  <si>
    <t>45611 - Apports en nature</t>
  </si>
  <si>
    <t>2748 - Autres prêts</t>
  </si>
  <si>
    <t>1662 - Fonds de participation</t>
  </si>
  <si>
    <t>7811 - Reprises sur amortissements des immobilisations incorporelles et corporelles</t>
  </si>
  <si>
    <t>6257 - Réceptions</t>
  </si>
  <si>
    <t>4561 - Associés - Comptes d’apport en société</t>
  </si>
  <si>
    <t>2743 - Prêts au personnel</t>
  </si>
  <si>
    <t>1661 - Comptes bloqués</t>
  </si>
  <si>
    <t>781 - Reprises sur amortissements, dépréciations et provisions (à inscrire dans les produits d’exploitation) – (Règlement n°2005-09 du CRC)</t>
  </si>
  <si>
    <t>6256 - Missions</t>
  </si>
  <si>
    <t>456 - Associés - Opérations sur le capital</t>
  </si>
  <si>
    <t>2742 - Prêts aux associés</t>
  </si>
  <si>
    <t>166 - Participation des salariés aux résultats</t>
  </si>
  <si>
    <t>78 - REPRISES SUR AMORTISSEMENTS, DÉPRECIATIONS ET PROVISIONS (Règlement n°2005-09 du CRC)</t>
  </si>
  <si>
    <t>6255 - Frais de déménagement</t>
  </si>
  <si>
    <t>4558 - Intérêts courus</t>
  </si>
  <si>
    <t>2741 - Prêts participatifs</t>
  </si>
  <si>
    <t>1655 - Cautionnements</t>
  </si>
  <si>
    <t>7788 - Produits exceptionnels divers</t>
  </si>
  <si>
    <t>6251 - Voyages et déplacements</t>
  </si>
  <si>
    <t>4551 - Principal</t>
  </si>
  <si>
    <t>274 - Prêts</t>
  </si>
  <si>
    <t>1651 - Dépôts</t>
  </si>
  <si>
    <t>7783 - Bonis provenant du rachat par l’entreprise d’actions et d’obligations émises par elle-même</t>
  </si>
  <si>
    <t>625 - Déplacements, missions et réceptions</t>
  </si>
  <si>
    <t>455 - Associés - Comptes courants</t>
  </si>
  <si>
    <t>273 - Titres immobilisés de l’activité de portefeuille</t>
  </si>
  <si>
    <t>165 - Dépôts et cautionnements reçus</t>
  </si>
  <si>
    <t>7782 - Lots</t>
  </si>
  <si>
    <t>6248 - Divers</t>
  </si>
  <si>
    <t>451 - Groupe</t>
  </si>
  <si>
    <t>2722 - Bons</t>
  </si>
  <si>
    <t>164 - Emprunts auprès des établissements de crédit</t>
  </si>
  <si>
    <t>7781 - Bonis provenant de clauses d’indexation</t>
  </si>
  <si>
    <t>6247 - Transports collectifs du personnel</t>
  </si>
  <si>
    <t>45 - GROUPE ET ASSOCIES</t>
  </si>
  <si>
    <t>2721 - Obligations</t>
  </si>
  <si>
    <t>163 - Autres emprunts obligataires</t>
  </si>
  <si>
    <t>778 - Autres produits exceptionnels</t>
  </si>
  <si>
    <t>6244 - Transports administratifs</t>
  </si>
  <si>
    <t>449 – Quotas d’émission à acquérir</t>
  </si>
  <si>
    <t>272 - Titres immobilisés (droit de créance)</t>
  </si>
  <si>
    <t>162 - Obligations représentatives de passifs nets remis en fiducie</t>
  </si>
  <si>
    <t>777 - Quote-part des subventions d’investissement virée au résultat de l’exercice</t>
  </si>
  <si>
    <t>6243 - Transports entre établissements ou chantiers</t>
  </si>
  <si>
    <t>4487 - Produits à recevoir</t>
  </si>
  <si>
    <t>2718 - Autres titres</t>
  </si>
  <si>
    <t>161 - Emprunts obligataires convertibles</t>
  </si>
  <si>
    <t>7758 - Autres éléments d’actif</t>
  </si>
  <si>
    <t>6242 - Transports sur ventes</t>
  </si>
  <si>
    <t>4486 - Charges à payer</t>
  </si>
  <si>
    <t>2711 - Actions</t>
  </si>
  <si>
    <t>16 - EMPRUNTS ET DETTES ASSIMILEES</t>
  </si>
  <si>
    <t>7756 - Immobilisations financières</t>
  </si>
  <si>
    <t>6241 - Transports sur achats</t>
  </si>
  <si>
    <t>4482 - Charges fiscales sur congés à payer</t>
  </si>
  <si>
    <t>271 - Titres immobilisés autres que les titres immobilisés de l’activité de portefeuille (droit de propriété)</t>
  </si>
  <si>
    <t>1581 – Provisions pour remises en état (Règlement n°2000-06 du CRC)</t>
  </si>
  <si>
    <t>7752 - Immobilisations corporelles</t>
  </si>
  <si>
    <t>624 - Transports de biens et transports collectifs du personnel</t>
  </si>
  <si>
    <t>448 - État - Charges à payer et produits à recevoir</t>
  </si>
  <si>
    <t>27 - AUTRES IMMOBILISATIONS FINANCIERES</t>
  </si>
  <si>
    <t>158 - Autres provisions pour charges</t>
  </si>
  <si>
    <t>7751 - Immobilisations incorporelles</t>
  </si>
  <si>
    <t>6238 - Divers (pourboires, dons courants, ...)</t>
  </si>
  <si>
    <t>447 - Autres impôts, taxes et versements assimilés</t>
  </si>
  <si>
    <t>269 - Versements restant à effectuer sur titres de participation non libérés</t>
  </si>
  <si>
    <t>1572 - Provisions pour gros entretien ou grandes révisions (Règlement n°2003-07 du CRC)</t>
  </si>
  <si>
    <t>775 - Produits des cessions d’éléments d’actif</t>
  </si>
  <si>
    <t>6237 - Publications</t>
  </si>
  <si>
    <t>446 - Obligations cautionnées</t>
  </si>
  <si>
    <t>2688 - Intérêts courus</t>
  </si>
  <si>
    <t>157 - Provisions pour charges à répartir sur plusieurs exercices</t>
  </si>
  <si>
    <t>7742 - Opérations liées à la liquidation de la fiducie</t>
  </si>
  <si>
    <t>6236 - Catalogues et imprimés</t>
  </si>
  <si>
    <t>44587 - Taxes sur le chiffres d’affaires sur factures à établir</t>
  </si>
  <si>
    <t>2681 - Principal</t>
  </si>
  <si>
    <t>156 - Provisions pour renouvellement des immobilisations (entreprises concessionnaires)</t>
  </si>
  <si>
    <t>7741 - Opérations liées à la constitution de la fiducie - transfert des éléments</t>
  </si>
  <si>
    <t>6235 - Primes</t>
  </si>
  <si>
    <t>44586 - Taxes sur le chiffre d’affaires sur factures non parvenues</t>
  </si>
  <si>
    <t>268 - Créances rattachées à des sociétés en participation</t>
  </si>
  <si>
    <t>155 - Provisions pour impôts</t>
  </si>
  <si>
    <t>774 - Opérations de constitution ou liquidation des fiducies</t>
  </si>
  <si>
    <t>6234 - Cadeaux à la clientèle</t>
  </si>
  <si>
    <t>44584 - T.V.A. récupérée d’avance</t>
  </si>
  <si>
    <t>2678 - Intérêts courus</t>
  </si>
  <si>
    <t>154 – Provisions pour restructurations (Règlement n°2000-06 du CRC)</t>
  </si>
  <si>
    <t>772 - (Compte à la disposition des entités pour enregistrer, en cours d’exercice, les produits sur exercices antérieurs)</t>
  </si>
  <si>
    <t>6233 - Foires et expositions</t>
  </si>
  <si>
    <t>44583 - Remboursement de taxes sur le chiffre d’affaires demandé</t>
  </si>
  <si>
    <t>2677 - Autres créances rattachées à des participations</t>
  </si>
  <si>
    <t>153 - Provisions pour pensions et obligations similaires</t>
  </si>
  <si>
    <t>7718 - Autres produits exceptionnels sur opérations de gestion</t>
  </si>
  <si>
    <t>6232 - Échantillons</t>
  </si>
  <si>
    <t>44582 - Acomptes - Régime du forfait</t>
  </si>
  <si>
    <t>2676 - Avances consolidables</t>
  </si>
  <si>
    <t>1518 - Autres provisions pour risques</t>
  </si>
  <si>
    <t>7717 - Dégrèvements d’impôts autres qu’impôts sur les bénéfices</t>
  </si>
  <si>
    <t>6231 - Annonces et insertions</t>
  </si>
  <si>
    <t>44581 - Acomptes - Régime simplifié d’imposition</t>
  </si>
  <si>
    <t>2675 - Versements représentatifs d’apports non capitalisés (appel de fonds)</t>
  </si>
  <si>
    <t>1516 – Provisions pour pertes sur contrats (Règlement n°2000-06 du CRC)</t>
  </si>
  <si>
    <t>7715 - Subventions d’équilibre</t>
  </si>
  <si>
    <t>623 - Publicité, publications, relations publiques</t>
  </si>
  <si>
    <t>4458 - Taxes sur le chiffre d’affaires à régulariser ou en attente</t>
  </si>
  <si>
    <t>2674 - Créances rattachées à des participations (hors groupe)</t>
  </si>
  <si>
    <t>1515 - Provisions pour pertes de change</t>
  </si>
  <si>
    <t>7714 - Rentrées sur créances amorties</t>
  </si>
  <si>
    <t>6228 - Divers</t>
  </si>
  <si>
    <t>44578 - Taxes assimilées à la T.V.A.</t>
  </si>
  <si>
    <t>2671 - Créances rattachées à des participations (groupe)</t>
  </si>
  <si>
    <t>1514 - Provisions pour amendes et pénalités</t>
  </si>
  <si>
    <t>7713 - Libéralités reçues</t>
  </si>
  <si>
    <t>6227 - Frais d’actes et de contentieux</t>
  </si>
  <si>
    <t>44571 - T.V.A. collectée</t>
  </si>
  <si>
    <t>267 - Créances rattachées à des participations</t>
  </si>
  <si>
    <t>1513 - Provisions pour pertes sur marchés à terme</t>
  </si>
  <si>
    <t>7711 - Dédits et pénalités perçus sur achats et sur ventes</t>
  </si>
  <si>
    <t>6226 - Honoraires</t>
  </si>
  <si>
    <t>4457 - Taxes sur le chiffre d’affaires collectées par l’entreprise</t>
  </si>
  <si>
    <t>2661 - Droits représentatifs d’actifs nets remis en fiducie</t>
  </si>
  <si>
    <t>1512 - Provisions pour garanties données aux clients</t>
  </si>
  <si>
    <t>771 - Produits exceptionnels sur opérations de gestion</t>
  </si>
  <si>
    <t>6225 - Rémunérations d’affacturage</t>
  </si>
  <si>
    <t>44568 - Taxes assimilées à la T.V.A.</t>
  </si>
  <si>
    <t>266 - Autres formes de participation</t>
  </si>
  <si>
    <t>1511 - Provisions pour litiges</t>
  </si>
  <si>
    <t>77 - PRODUITS EXCEPTIONNELS</t>
  </si>
  <si>
    <t>6224 - Rémunérations des transitaires</t>
  </si>
  <si>
    <t>44567 - Crédit de T.V.A. à reporter</t>
  </si>
  <si>
    <t>2618 - Autres titres</t>
  </si>
  <si>
    <t>151 - Provisions pour risques</t>
  </si>
  <si>
    <t>768 - Autres produits financiers</t>
  </si>
  <si>
    <t>6222 - Commissions et courtages sur ventes</t>
  </si>
  <si>
    <t>44566 - T.V.A. sur autres biens et services</t>
  </si>
  <si>
    <t>2611 - Actions</t>
  </si>
  <si>
    <t>15 - PROVISIONS – (Règlement n°2005-09 du CRC)</t>
  </si>
  <si>
    <t>767 - Produits nets sur cessions de valeurs mobilières de placement</t>
  </si>
  <si>
    <t>6221 - Commissions et courtages sur achats</t>
  </si>
  <si>
    <t>44563 - T.V.A. transférée par d’autres entreprises</t>
  </si>
  <si>
    <t>261 - Titres de participation</t>
  </si>
  <si>
    <t>148 - Autres provisions réglementées</t>
  </si>
  <si>
    <t>766 - Gains de change</t>
  </si>
  <si>
    <t>622 - Rémunérations d’intermédiaires et honoraires</t>
  </si>
  <si>
    <t>44562 - T.V.A. sur immobilisations</t>
  </si>
  <si>
    <t>26 - PARTICIPATIONS ET CREANCES RATTACHÉES À DES PARTICIPATIONS</t>
  </si>
  <si>
    <t>147 - Plus-values réinvesties</t>
  </si>
  <si>
    <t>765 - Escomptes obtenus</t>
  </si>
  <si>
    <t>6214 - Personnel détaché ou prêté à l’entreprise</t>
  </si>
  <si>
    <t>4456 - Taxes sur le chiffre d’affaires déductibles</t>
  </si>
  <si>
    <t>25 - PARTS DANS DES ENTREPRISES LIÉES ET CRÉANCES SUR DES ENTREPRISES LIÉES</t>
  </si>
  <si>
    <t>146 - Provision spéciale de réévaluation</t>
  </si>
  <si>
    <t>764 - Revenus des valeurs mobilières de placement</t>
  </si>
  <si>
    <t>6211 - Personnel intérimaire</t>
  </si>
  <si>
    <t>44558 - Taxes assimilées à la T.V.A.</t>
  </si>
  <si>
    <t>145 - Amortissements dérogatoires</t>
  </si>
  <si>
    <t>7638 - Revenus des créances diverses</t>
  </si>
  <si>
    <t>621 - Personnel extérieur à l’entreprise</t>
  </si>
  <si>
    <t>44551 - T.V.A. à décaisser</t>
  </si>
  <si>
    <t>2388 - Autres immobilisations corporelles</t>
  </si>
  <si>
    <t>144 - Provisions réglementées relatives aux autres éléments de l’actif</t>
  </si>
  <si>
    <t>7631 - Revenus des créances commerciales</t>
  </si>
  <si>
    <t>62 - Autres services extérieurs</t>
  </si>
  <si>
    <t>4455 - Taxes sur le chiffre d’affaires à décaisser</t>
  </si>
  <si>
    <t>2385 - Installations techniques, matériel et outillage industriels</t>
  </si>
  <si>
    <t>1432 - Fluctuation des cours</t>
  </si>
  <si>
    <t>763 - Revenus des autres créances</t>
  </si>
  <si>
    <t>619 - Rabais, remises et ristournes obtenus sur services extérieurs</t>
  </si>
  <si>
    <t>4452 - T.V.A. due intracommunautaire</t>
  </si>
  <si>
    <t>2383 - Constructions</t>
  </si>
  <si>
    <t>1431 - Hausse des prix</t>
  </si>
  <si>
    <t>7627 - Revenus des créances immobilisées</t>
  </si>
  <si>
    <t>6185 - Frais de colloques, séminaires, conférences</t>
  </si>
  <si>
    <t>445 - État - Taxes sur le chiffre d’affaires</t>
  </si>
  <si>
    <t>2382 - Terrains</t>
  </si>
  <si>
    <t>143 - Provisions réglementées relatives aux stocks</t>
  </si>
  <si>
    <t>7626 - Revenus des prêts</t>
  </si>
  <si>
    <t>6183 - Documentation technique</t>
  </si>
  <si>
    <t>444 - État - Impôts sur les bénéfices</t>
  </si>
  <si>
    <t>238 - Avances et acomptes versés sur commandes d’immobilisations corporelles</t>
  </si>
  <si>
    <t>1424 - Provisions pour investissement (participation des salariés)</t>
  </si>
  <si>
    <t>7621 - Revenus des titres immobilisés</t>
  </si>
  <si>
    <t>6181 - Documentation générale</t>
  </si>
  <si>
    <t>4438 - Intérêts courus sur créances figurant au compte 4431</t>
  </si>
  <si>
    <t>3972 - Marchandise (ou groupe) B</t>
  </si>
  <si>
    <t>237 - Avances et acomptes versés sur commandes d’immobilisations incorporelles</t>
  </si>
  <si>
    <t>1423 - Provisions pour reconstitution des gisements miniers et pétroliers</t>
  </si>
  <si>
    <t>762 - Produits des autres immobilisations financières</t>
  </si>
  <si>
    <t>618 - Divers</t>
  </si>
  <si>
    <t>4431 - Créances sur l’Etat résultant de la suppression de la règle du décalage d’un mois en matière de T.V.A.</t>
  </si>
  <si>
    <t>3971 - Marchandise (ou groupe) A</t>
  </si>
  <si>
    <t>232 - Immobilisations incorporelles en cours</t>
  </si>
  <si>
    <t>142 - Provisions réglementées relatives aux immobilisations</t>
  </si>
  <si>
    <t>7617 - Revenus des créances rattachées à des participations</t>
  </si>
  <si>
    <t>617 - Études et recherches</t>
  </si>
  <si>
    <t>443 - Opérations particulières avec l’État, les collectivités publiques, les organismes internationaux</t>
  </si>
  <si>
    <t>397 - Dépréciations des stocks de marchandises (Règlement n°2005-09 du CRC)</t>
  </si>
  <si>
    <t>2318 - Autres immobilisations corporelles</t>
  </si>
  <si>
    <t>14 - PROVISIONS REGLEMENTEES</t>
  </si>
  <si>
    <t>7616 - Revenus sur autres formes de participation</t>
  </si>
  <si>
    <t>6165 - Insolvabilité clients</t>
  </si>
  <si>
    <t>4425 - Associés</t>
  </si>
  <si>
    <t>3955 - Produits finis (même ventilation que celle du compte 355)</t>
  </si>
  <si>
    <t>2315 - Installations techniques, matériel et outillage industriels</t>
  </si>
  <si>
    <t>1398 - Autres subventions d’investissement (même ventilation que celle du compte 1391)</t>
  </si>
  <si>
    <t>7612 - Produits de la fiducie, résultat de la période</t>
  </si>
  <si>
    <t>6164 - Risques d’exploitation</t>
  </si>
  <si>
    <t>4424 - Obligataires</t>
  </si>
  <si>
    <t>3951 - Produits intermédiaires (même ventilation que celle du compte 351)</t>
  </si>
  <si>
    <t>2313 - Constructions</t>
  </si>
  <si>
    <t>13918 - Autres</t>
  </si>
  <si>
    <t>7611 - Revenus des titres de participation</t>
  </si>
  <si>
    <t>61638 - sur autres biens</t>
  </si>
  <si>
    <t>442 - État - Impôts et taxes recouvrables sur des tiers</t>
  </si>
  <si>
    <t>395 - Dépréciations des stocks de produits (Règlement n°2005-09 du CRC)</t>
  </si>
  <si>
    <t>2312 - Terrains</t>
  </si>
  <si>
    <t>13917 - Entreprises et organismes privés</t>
  </si>
  <si>
    <t>761 - Produits de participations</t>
  </si>
  <si>
    <t>61637 - sur ventes</t>
  </si>
  <si>
    <t>4419 - Avances sur subventions</t>
  </si>
  <si>
    <t>3945 - Prestations de services en cours (même ventilation que celle du compte 345)</t>
  </si>
  <si>
    <t>231 - Immobilisations corporelles en cours</t>
  </si>
  <si>
    <t>13916 - Entreprises publiques</t>
  </si>
  <si>
    <t>76 - PRODUITS FINANCIERS</t>
  </si>
  <si>
    <t>61636 - sur achats</t>
  </si>
  <si>
    <t>4418 - Subventions d’équilibre</t>
  </si>
  <si>
    <t>3941 - Études en cours (même ventilation que celle du compte 341)</t>
  </si>
  <si>
    <t>23 - IMMOBILISATIONS EN COURS</t>
  </si>
  <si>
    <t>13915 - Collectivités publiques</t>
  </si>
  <si>
    <t>758 - Produits divers de gestion courante</t>
  </si>
  <si>
    <t>6163 - Assurance-transport</t>
  </si>
  <si>
    <t>4417 - Subventions d’exploitation</t>
  </si>
  <si>
    <t>394 - Dépréciations des en-cours de production de services (Règlement n°2005-09 du CRC)</t>
  </si>
  <si>
    <t>22 - IMMOBILISATIONS MISES EN CONCESSION</t>
  </si>
  <si>
    <t>13914 - Communes</t>
  </si>
  <si>
    <t>7555 - Quote-part de bénéfice attribuée (comptabilité des associés non-gérants)</t>
  </si>
  <si>
    <t>6162 - Assurance obligatoire dommage construction</t>
  </si>
  <si>
    <t>4411 - Subventions d’investissement</t>
  </si>
  <si>
    <t>3935 - Travaux en cours (même ventilation que celle du compte 335)</t>
  </si>
  <si>
    <t>2186 - Emballages récupérables</t>
  </si>
  <si>
    <t>13913 - Départements</t>
  </si>
  <si>
    <t>7551 - Quote-part de perte transférée (comptabilité du gérant)</t>
  </si>
  <si>
    <t>6161 - Multirisques</t>
  </si>
  <si>
    <t>441 - Etat - Subventions à recevoir</t>
  </si>
  <si>
    <t>3931 - Produits en cours (même ventilation que celle du compte 331)</t>
  </si>
  <si>
    <t>2185 - Cheptel</t>
  </si>
  <si>
    <t>13912 - Régions</t>
  </si>
  <si>
    <t>755 - Quotes-parts de résultat sur opérations faites en commun</t>
  </si>
  <si>
    <t>616 - Primes d’assurances</t>
  </si>
  <si>
    <t>44 - ETAT ET AUTRES COLLECTIVITES PUBLIQUES</t>
  </si>
  <si>
    <t>393 - Dépréciations des en-cours de production de biens (Règlement n°2005-09 du CRC)</t>
  </si>
  <si>
    <t>2184 - Mobilier</t>
  </si>
  <si>
    <t>13911 - État</t>
  </si>
  <si>
    <t>754 - Ristournes perçues des coopératives (provenant des excédents)</t>
  </si>
  <si>
    <t>6156 - Maintenance</t>
  </si>
  <si>
    <t>4387 - Produits à recevoir</t>
  </si>
  <si>
    <t>3926 - Emballages (même ventilation que celle du compte 326)</t>
  </si>
  <si>
    <t>2183 - Matériel de bureau et matériel informatique</t>
  </si>
  <si>
    <t>1391 - Subventions d’équipement</t>
  </si>
  <si>
    <t>753 - Jetons de présence et rémunérations d’administrateurs, gérants</t>
  </si>
  <si>
    <t>6155 - sur biens mobiliers</t>
  </si>
  <si>
    <t>4386 - Autres charges à payer</t>
  </si>
  <si>
    <t>3922 - Fournitures consommables (même ventilation que celle du compte 322)</t>
  </si>
  <si>
    <t>2182 - Matériel de transport</t>
  </si>
  <si>
    <t>139 - Subventions d’investissement inscrites au compte de résultat</t>
  </si>
  <si>
    <t>752 - Revenus des immeubles non affectés à des activités professionnelles</t>
  </si>
  <si>
    <t>6152 - sur biens immobiliers</t>
  </si>
  <si>
    <t>4382 - Charges sociales sur congés à payer</t>
  </si>
  <si>
    <t>3921 - Matières consommables (même ventilation que celle du compte 321)</t>
  </si>
  <si>
    <t>2181 - Installations générales, agencements, aménagements divers</t>
  </si>
  <si>
    <t>138 - Autres subventions d’investissement (même ventilation que celle du compte 131)</t>
  </si>
  <si>
    <t>7518 - Autres droits et valeurs similaires</t>
  </si>
  <si>
    <t>615 - Entretien et réparations</t>
  </si>
  <si>
    <t>5908 - Autres valeurs mobilières de placement et créances assimilées</t>
  </si>
  <si>
    <t>438 - Organismes sociaux - Charges à payer et produits à recevoir</t>
  </si>
  <si>
    <t>392 - Dépréciations des autres approvisionnements (Règlement n° 2005-09 du CRC)</t>
  </si>
  <si>
    <t>218 - Autres immobilisations corporelles</t>
  </si>
  <si>
    <t>1318 - Autres</t>
  </si>
  <si>
    <t>7516 - Droits d’auteur et de reproduction</t>
  </si>
  <si>
    <t>614 - Charges locatives et de copropriété</t>
  </si>
  <si>
    <t>5906 - Obligations</t>
  </si>
  <si>
    <t>437 - Autres organismes sociaux</t>
  </si>
  <si>
    <t>3917 - Fournitures A, B, C, ...</t>
  </si>
  <si>
    <t>2157 - Agencements et aménagements du matériel et outillage industriels</t>
  </si>
  <si>
    <t>1317 - Entreprises et organismes privés</t>
  </si>
  <si>
    <t>7511 - Redevances pour concessions, brevets, licences, marques, procédés, logiciels</t>
  </si>
  <si>
    <t>6136 - Malis sur emballages</t>
  </si>
  <si>
    <t>5904 - Autres titres conférant un droit de propriété</t>
  </si>
  <si>
    <t>431 - Sécurité sociale</t>
  </si>
  <si>
    <t>3912 - Matières (ou groupe) B</t>
  </si>
  <si>
    <t>2155 - Outillage industriel</t>
  </si>
  <si>
    <t>1316 - Entreprises publiques</t>
  </si>
  <si>
    <t>751 - Redevances pour concessions, brevets, licences, marques, procédés, logiciels, droits et valeurs similaires</t>
  </si>
  <si>
    <t>6135 - Locations mobilières</t>
  </si>
  <si>
    <t>5903 - Actions</t>
  </si>
  <si>
    <t>43 - SECURITE SOCIALE ET AUTRES ORGANISMES SOCIAUX</t>
  </si>
  <si>
    <t>3911 - Matières (ou groupe) A</t>
  </si>
  <si>
    <t>2154 - Matériel industriel</t>
  </si>
  <si>
    <t>1315 - Collectivités publiques</t>
  </si>
  <si>
    <t>75 - AUTRES PRODUITS DE GESTION COURANTE</t>
  </si>
  <si>
    <t>6132 - Locations immobilières</t>
  </si>
  <si>
    <t>590 - Dépréciations des valeurs mobilières de placement (Règlement n°2005-09 du CRC)</t>
  </si>
  <si>
    <t>4287 - Produits à recevoir</t>
  </si>
  <si>
    <t>391 - Dépréciations des matières premières (et fournitures) (Règlement n°2005-09 du CRC)</t>
  </si>
  <si>
    <t>21534 - sur sol d’autrui</t>
  </si>
  <si>
    <t>1314 - Communes</t>
  </si>
  <si>
    <t>74 - SUBVENTIONS D’EXPLOITATION</t>
  </si>
  <si>
    <t>613 - Locations</t>
  </si>
  <si>
    <t>59 - DEPRECIATIONS DES COMPTES FINANCIERS – (Règlement n°2005-09 du CRC)</t>
  </si>
  <si>
    <t>4286 - Autres charges à payer</t>
  </si>
  <si>
    <t>39 - DEPRECIATIONS DES STOCKS ET EN-COURS – (Règlement n°2005-09 du CRC)</t>
  </si>
  <si>
    <t>21531 - sur sol propre</t>
  </si>
  <si>
    <t>1313 - Départements</t>
  </si>
  <si>
    <t>731 et 739 (Supprimés par le règlement n°99-08 du CRC)</t>
  </si>
  <si>
    <t>6125 - Crédit-bail immobilier</t>
  </si>
  <si>
    <t>58 - VIREMENTS INTERNES</t>
  </si>
  <si>
    <t>4284 - Dettes provisionnées pour participation des salariés aux résultats</t>
  </si>
  <si>
    <t>38 - (lorsque l’entité tient un inventaire permanent en comptabilité générale, le compte 38 peut être utilisé pour comptabiliser les stocks en voie d’acheminement, mis en dépôt ou donnés en consignation)</t>
  </si>
  <si>
    <t>2153 - Installations à caractère spécifique</t>
  </si>
  <si>
    <t>1312 - Régions</t>
  </si>
  <si>
    <t>73 (Supprimé par le règlement n°99-08 du CRC)</t>
  </si>
  <si>
    <t>6122 - Crédit-bail mobilier</t>
  </si>
  <si>
    <t>54 - REGIES D’AVANCE ET ACCREDITIFS</t>
  </si>
  <si>
    <t>4282 - Dettes provisionnées pour congés à payer</t>
  </si>
  <si>
    <t>372 - Marchandises (ou groupe) B</t>
  </si>
  <si>
    <t>21514 - sur sol d’autrui</t>
  </si>
  <si>
    <t>1311 - État</t>
  </si>
  <si>
    <t>722 - Immobilisations corporelles</t>
  </si>
  <si>
    <t>612 - Redevances de crédit-bail</t>
  </si>
  <si>
    <t>533 - Caisse succursale (ou usine) B</t>
  </si>
  <si>
    <t>428 - Personnel - Charges à payer et produits à recevoir</t>
  </si>
  <si>
    <t>371 - Marchandises (ou groupe) A</t>
  </si>
  <si>
    <t>21511 - sur sol propre</t>
  </si>
  <si>
    <t>131 - Subventions d’équipement</t>
  </si>
  <si>
    <t>721 - Immobilisations incorporelles</t>
  </si>
  <si>
    <t>611 - Sous-traitance générale</t>
  </si>
  <si>
    <t>532 - Caisse succursale (ou usine) A</t>
  </si>
  <si>
    <t>427 - Personnel - Oppositions</t>
  </si>
  <si>
    <t>37 - STOCKS DE MARCHANDISES</t>
  </si>
  <si>
    <t>2151 - Installations complexes spécialisées</t>
  </si>
  <si>
    <t>13 - SUBVENTIONS D’INVESTISSEMENT</t>
  </si>
  <si>
    <t>72 - PRODUCTION IMMOBILISEE</t>
  </si>
  <si>
    <t>61 - Services extérieurs</t>
  </si>
  <si>
    <t>5314 - Caisse en devises</t>
  </si>
  <si>
    <t>426 - Personnel - Dépôts</t>
  </si>
  <si>
    <t>36 - (compte à ouvrir, le cas échéant, sous l’intitulé « stocks provenant d’immobilisations »)</t>
  </si>
  <si>
    <t>215 - Installations techniques, matériels et outillage industriels</t>
  </si>
  <si>
    <t>129 - Résultat de l’exercice (perte)</t>
  </si>
  <si>
    <t>71358 - Produits résiduels</t>
  </si>
  <si>
    <t>61/62 - AUTRES CHARGES EXTERNES</t>
  </si>
  <si>
    <t>5311 - Caisse en monnaie nationale</t>
  </si>
  <si>
    <t>425 - Personnel - Avances et acomptes</t>
  </si>
  <si>
    <t>3586 - Matières de récupération</t>
  </si>
  <si>
    <t>214 - Constructions sur sol d’autrui (même ventilation que celle du compte 213)</t>
  </si>
  <si>
    <t>120 - Résultat de l’exercice (bénéfice)</t>
  </si>
  <si>
    <t>71355 - Produits finis</t>
  </si>
  <si>
    <t>6037 - Variation des stocks de marchandises</t>
  </si>
  <si>
    <t>531 - Caisse siège social</t>
  </si>
  <si>
    <t>4248 - Comptes courants</t>
  </si>
  <si>
    <t>3585 - Rebuts</t>
  </si>
  <si>
    <t>21385 - Pistes d’aérodromes</t>
  </si>
  <si>
    <t>12 - RESULTAT DE L’EXERCICE (bénéfice ou perte)</t>
  </si>
  <si>
    <t>71351 - Produits intermédiaires</t>
  </si>
  <si>
    <t>6032 - Variation des stocks des autres approvisionnements</t>
  </si>
  <si>
    <t>53 - CAISSE</t>
  </si>
  <si>
    <t>4246 - Réserve spéciale (art. L. 442-2 du Code du travail)</t>
  </si>
  <si>
    <t>3581 - Déchets</t>
  </si>
  <si>
    <t>21384 - Barrages</t>
  </si>
  <si>
    <t>119 - Report à nouveau (solde débiteur)</t>
  </si>
  <si>
    <t>7135 - Variation des stocks de produits</t>
  </si>
  <si>
    <t>6031 - Variation des stocks de matières premières (et fournitures)</t>
  </si>
  <si>
    <t>52 - INSTRUMENTS DE TRÉSORERIE</t>
  </si>
  <si>
    <t>424 - Participation des salariés aux résultats</t>
  </si>
  <si>
    <t>358 - Produits résiduels (ou matières de récupération)</t>
  </si>
  <si>
    <t>21383 - Voies d’eau</t>
  </si>
  <si>
    <t>110 - Report à nouveau (solde créditeur)</t>
  </si>
  <si>
    <t>71345 - Prestations de services en cours</t>
  </si>
  <si>
    <t>603 - VARIATIONS DES STOCKS (approvisionnements et marchandises)</t>
  </si>
  <si>
    <t>5198 - Intérêts courus sur concours bancaires courants</t>
  </si>
  <si>
    <t>422 - Comités d’entreprises, d’établissement, …</t>
  </si>
  <si>
    <t>3552 - Produits finis (ou groupe) B</t>
  </si>
  <si>
    <t>21382 - Voies de fer</t>
  </si>
  <si>
    <t>11 - REPORT A NOUVEAU (solde créditeur ou débiteur)</t>
  </si>
  <si>
    <t>71341 - Études en cours</t>
  </si>
  <si>
    <t>6098 - Rabais, remises et ristournes non affectés</t>
  </si>
  <si>
    <t>5193 - Mobilisation de créances nées à l’étranger</t>
  </si>
  <si>
    <t>421 - Personnel - Rémunérations dues</t>
  </si>
  <si>
    <t>3551 - Produits finis (ou groupe) A</t>
  </si>
  <si>
    <t>21381 - Voies de terre</t>
  </si>
  <si>
    <t>109 - Actionnaires : Capital souscrit - non appelé</t>
  </si>
  <si>
    <t>7134 - Variation des en-cours de production de services</t>
  </si>
  <si>
    <t>6097 - de marchandises</t>
  </si>
  <si>
    <t>5191 - Crédit de mobilisation de créances commerciales (CMCC)</t>
  </si>
  <si>
    <t>42 - PERSONNEL ET COMPTES RATTACHES</t>
  </si>
  <si>
    <t>355 - Produits finis</t>
  </si>
  <si>
    <t>2138 - Ouvrages d’infrastructure</t>
  </si>
  <si>
    <t>108 - Compte de l’exploitant</t>
  </si>
  <si>
    <t>71335 - Travaux en cours</t>
  </si>
  <si>
    <t>6096 - d’approvisionnements non stockés</t>
  </si>
  <si>
    <t>519 - Concours bancaires courants</t>
  </si>
  <si>
    <t>4198 - Rabais, remises, ristournes à accorder et autres avoirs à établir</t>
  </si>
  <si>
    <t>3512 - Produits intermédiaires (ou groupe) B</t>
  </si>
  <si>
    <t>2135 - Installations générales - agencements - aménagements des constructions (même ventilation que celle du compte 2131)</t>
  </si>
  <si>
    <t>107 - Écart d’équivalence</t>
  </si>
  <si>
    <t>71331 - Produits en cours</t>
  </si>
  <si>
    <t>6095 - de matériel, équipements et travaux</t>
  </si>
  <si>
    <t>5188 - Intérêts courus à recevoir</t>
  </si>
  <si>
    <t>4197 - Clients - Autres avoirs</t>
  </si>
  <si>
    <t>3511 - Produits intermédiaires (ou groupe) A</t>
  </si>
  <si>
    <t>213188 - affectés aux opérations non professionnelles (A, B...)</t>
  </si>
  <si>
    <t>10688 - Réserves diverses</t>
  </si>
  <si>
    <t>7133 - Variation des en-cours de production de biens</t>
  </si>
  <si>
    <t>6094 - d’études et prestations de services</t>
  </si>
  <si>
    <t>5181 - Intérêts courus à payer</t>
  </si>
  <si>
    <t>4196 - Clients - Dettes sur emballages et matériels consignés</t>
  </si>
  <si>
    <t>351 - Produits intermédiaires</t>
  </si>
  <si>
    <t>213181 - affectés aux opérations professionnelles (A, B...)</t>
  </si>
  <si>
    <t>10681 - Réserve de propre assureur</t>
  </si>
  <si>
    <t>713 - Variation des stocks (en-cours de production, produits)</t>
  </si>
  <si>
    <t>6092 - d’autres approvisionnements stockés</t>
  </si>
  <si>
    <t>518 - Intérêts courus</t>
  </si>
  <si>
    <t>4191 - Clients - Avances et acomptes reçus sur commandes</t>
  </si>
  <si>
    <t>35 - STOCKS DE PRODUITS</t>
  </si>
  <si>
    <t>21318 - Autres ensembles immobiliers</t>
  </si>
  <si>
    <t>1068 - Autres réserves</t>
  </si>
  <si>
    <t>71 - PRODUCTION STOCKEE (OU DESTOCKAGE)</t>
  </si>
  <si>
    <t>6091 - de matières premières (et fournitures)</t>
  </si>
  <si>
    <t>517 - Autres organismes financiers</t>
  </si>
  <si>
    <t>419 - Clients créditeurs</t>
  </si>
  <si>
    <t>3452 - Prestations de services S 2</t>
  </si>
  <si>
    <t>21315 - Ensembles immobiliers administratifs et commerciaux (A, B...)</t>
  </si>
  <si>
    <t>10648 - Autres réserves réglementées</t>
  </si>
  <si>
    <t>7098 - sur produits des activités annexes</t>
  </si>
  <si>
    <t>609 - Rabais, remises et ristournes obtenus sur achats</t>
  </si>
  <si>
    <t>516 - Sociétés de bourse</t>
  </si>
  <si>
    <t>4188 - Clients - Intérêts courus</t>
  </si>
  <si>
    <t>3451 - Prestations de services S 1</t>
  </si>
  <si>
    <t>21311 - Ensembles immobiliers industriels (A, B...)</t>
  </si>
  <si>
    <t>10643 - Réserves consécutives à l’octroi de subventions d’investissement</t>
  </si>
  <si>
    <t>7097 - sur ventes de marchandises</t>
  </si>
  <si>
    <t>608 - (Compte réservé, le cas échéant, à la récapitulation des frais accessoires incorporés aux achats)</t>
  </si>
  <si>
    <t>515 - « Caisses » du Trésor et des établissements publics</t>
  </si>
  <si>
    <t>4181 - Clients - Factures à établir</t>
  </si>
  <si>
    <t>345 - Prestations de services en cours</t>
  </si>
  <si>
    <t>2131 - Bâtiments</t>
  </si>
  <si>
    <t>10641 - Plus-values nettes à long terme</t>
  </si>
  <si>
    <t>7096 - sur prestations de services</t>
  </si>
  <si>
    <t>6072 - Marchandise (ou groupe) B</t>
  </si>
  <si>
    <t>514 - Chèques postaux</t>
  </si>
  <si>
    <t>418 - Clients - Produits non encore facturés</t>
  </si>
  <si>
    <t>3412 - Études en cours E 2</t>
  </si>
  <si>
    <t>213 - Constructions</t>
  </si>
  <si>
    <t>1064 - Réserves réglementées</t>
  </si>
  <si>
    <t>7095 - sur études</t>
  </si>
  <si>
    <t>6071 - Marchandise (ou groupe) A</t>
  </si>
  <si>
    <t>5124 - Comptes en devises</t>
  </si>
  <si>
    <t>416 - Clients douteux ou litigieux (Supprimé par le règlement n°99-08 du CRC)</t>
  </si>
  <si>
    <t>3411 - Études en cours E 1</t>
  </si>
  <si>
    <t>212 - Agencements et aménagements de terrains (même ventilation que celle du compte 211)</t>
  </si>
  <si>
    <t>1063 - Réserves statutaires ou contractuelles</t>
  </si>
  <si>
    <t>7094 - sur travaux</t>
  </si>
  <si>
    <t>607 - Achats de marchandises</t>
  </si>
  <si>
    <t>5121 - Comptes en monnaie nationale</t>
  </si>
  <si>
    <t>413 - Clients - Effets à recevoir</t>
  </si>
  <si>
    <t>341 - Études en cours</t>
  </si>
  <si>
    <t>2116 - Compte d’ordre sur immobilisations (art. 6 du décret n°78-737 du 11 juillet 1978)</t>
  </si>
  <si>
    <t>1062 - Réserves indisponibles</t>
  </si>
  <si>
    <t>7092 - sur ventes de produits intermédiaires</t>
  </si>
  <si>
    <t>6068 - Autres matières et fournitures</t>
  </si>
  <si>
    <t>512 - Banques</t>
  </si>
  <si>
    <t>4117 - Clients - Retenues de garantie</t>
  </si>
  <si>
    <t>34 - EN-COURS DE PRODUCTION DE SERVICES</t>
  </si>
  <si>
    <t>211588 - affectés aux opérations non professionnelles (A, B...)</t>
  </si>
  <si>
    <t>10612 - Plus-values nettes à long terme</t>
  </si>
  <si>
    <t>7091 - sur ventes de produits finis</t>
  </si>
  <si>
    <t>6064 - Fournitures administratives</t>
  </si>
  <si>
    <t>5114 - Effets à l’escompte</t>
  </si>
  <si>
    <t>4111 - Clients - Ventes de biens ou de prestations de services</t>
  </si>
  <si>
    <t>3352 - Travaux en cours T 2</t>
  </si>
  <si>
    <t>211581 - affectés aux opérations professionnelles (A, B...)</t>
  </si>
  <si>
    <t>10611 - Réserve légale proprement dite</t>
  </si>
  <si>
    <t>709 - Rabais, remises et ristournes accordés par l’entreprise</t>
  </si>
  <si>
    <t>6063 - Fournitures d’entretien et de petit équipement</t>
  </si>
  <si>
    <t>5113 - Effets à l’encaissement</t>
  </si>
  <si>
    <t>411 - Clients</t>
  </si>
  <si>
    <t>3351 - Travaux en cours T 1</t>
  </si>
  <si>
    <t>21158 - Autres ensembles immobiliers</t>
  </si>
  <si>
    <t>1061 - Réserve légale</t>
  </si>
  <si>
    <t>7088 - Autres produits d’activités annexes (cessions d’approvisionnements,...)</t>
  </si>
  <si>
    <t>6061 - Fournitures non stockables (eau, énergie, ...)</t>
  </si>
  <si>
    <t>5112 - Chèques à encaisser</t>
  </si>
  <si>
    <t>410 - Clients et Comptes rattachés</t>
  </si>
  <si>
    <t>335 - Travaux en cours</t>
  </si>
  <si>
    <t>21155 - Ensembles immobiliers administratifs et commerciaux (A, B...)</t>
  </si>
  <si>
    <t>106 - Réserves</t>
  </si>
  <si>
    <t>7087 - Bonifications obtenues des clients et primes sur ventes</t>
  </si>
  <si>
    <t>606 - Achats non stockés de matières et fournitures</t>
  </si>
  <si>
    <t>5111 - Coupons échus à l’encaissement</t>
  </si>
  <si>
    <t>41 - CLIENTS ET COMPTES RATTACHES</t>
  </si>
  <si>
    <t>3312 - Produits en cours P 2</t>
  </si>
  <si>
    <t>21151 - Ensembles immobiliers industriels (A, B...)</t>
  </si>
  <si>
    <t>1058 - Autres écarts de réévaluation à l’Étranger</t>
  </si>
  <si>
    <t>7086 - Bonis sur reprises d’emballages consignés</t>
  </si>
  <si>
    <t>605 - Achats de matériel, équipements et travaux</t>
  </si>
  <si>
    <t>511 - Valeurs à l’encaissement</t>
  </si>
  <si>
    <t>4098 - Rabais, remises, ristournes à obtenir et autres avoirs non encore reçus</t>
  </si>
  <si>
    <t>3311 - Produits en cours P 1</t>
  </si>
  <si>
    <t>2115 - Terrains bâtis</t>
  </si>
  <si>
    <t>1057 - Autres écarts de réévaluation en France</t>
  </si>
  <si>
    <t>7085 - Ports et frais accessoires facturés</t>
  </si>
  <si>
    <t>604 - Achats d’études et prestations de services</t>
  </si>
  <si>
    <t>51 - BANQUES, ETABLISSEMENTS FINANCIERS ET ASSIMILES</t>
  </si>
  <si>
    <t>40974 - Fournisseurs d’immobilisations</t>
  </si>
  <si>
    <t>331 - Produits en cours</t>
  </si>
  <si>
    <t>21141 - Carrières</t>
  </si>
  <si>
    <t>1055 - Écarts de réévaluation (autres opérations légales)</t>
  </si>
  <si>
    <t>7084 - Mise à disposition de personnel facturée</t>
  </si>
  <si>
    <t>60267 – Emballages à usage mixte</t>
  </si>
  <si>
    <t>509 - Versements restant à effectuer sur valeurs mobilières de placement non libérées</t>
  </si>
  <si>
    <t>40971 - Fournisseurs d’exploitation</t>
  </si>
  <si>
    <t>33 - EN-COURS DE PRODUCTION DE BIENS</t>
  </si>
  <si>
    <t>2114 - Terrains de gisement</t>
  </si>
  <si>
    <t>1053 - Réserve de réévaluation</t>
  </si>
  <si>
    <t>7083 - Locations diverses</t>
  </si>
  <si>
    <t>60265 Emballages récupérables non identifiables</t>
  </si>
  <si>
    <t>5088 - Intérêts courus sur obligations, bons et valeurs assimilées</t>
  </si>
  <si>
    <t>4097 - Fournisseurs - Autres avoirs</t>
  </si>
  <si>
    <t>3267 - Emballages à usage mixte</t>
  </si>
  <si>
    <t>2113 - Sous-sols et sur-sols</t>
  </si>
  <si>
    <t>1052 - Écart de réévaluation libre</t>
  </si>
  <si>
    <t>7082 - Commissions et courtages</t>
  </si>
  <si>
    <t>60261 - Emballages perdus</t>
  </si>
  <si>
    <t>5082 - Bons de souscription</t>
  </si>
  <si>
    <t>4096 - Fournisseurs - Créances pour emballages et matériel à rendre</t>
  </si>
  <si>
    <t>3265 - Emballages récupérables non identifiables</t>
  </si>
  <si>
    <t>2112 - Terrains aménagés</t>
  </si>
  <si>
    <t>1051 - Réserve spéciale de réévaluation</t>
  </si>
  <si>
    <t>7081 - Produits des services exploités dans l’intérêt du personnel</t>
  </si>
  <si>
    <t>6026 - Emballages</t>
  </si>
  <si>
    <t>5081 - Autres valeurs mobilières</t>
  </si>
  <si>
    <t>4091 - Fournisseurs - Avances et acomptes versés sur commandes</t>
  </si>
  <si>
    <t>3261 - Emballages perdus</t>
  </si>
  <si>
    <t>2111 - Terrains nus</t>
  </si>
  <si>
    <t>105 - Écarts de réévaluation</t>
  </si>
  <si>
    <t>708 - Produits des activités annexes</t>
  </si>
  <si>
    <t>60225 - Fournitures de bureau</t>
  </si>
  <si>
    <t>508 - Autres valeurs mobilières de placement et autres créances assimilées</t>
  </si>
  <si>
    <t>409 - Fournisseurs débiteurs</t>
  </si>
  <si>
    <t>326 - Emballages</t>
  </si>
  <si>
    <t>211 - Terrains</t>
  </si>
  <si>
    <t>1045 - Bons de souscription d’actions</t>
  </si>
  <si>
    <t>7072 - Marchandises (ou groupe) B</t>
  </si>
  <si>
    <t>60224 - Fournitures de magasin</t>
  </si>
  <si>
    <t>507 - Bons du Trésor et bons de caisse à court terme</t>
  </si>
  <si>
    <t>4088 - Fournisseurs - Intérêts courus</t>
  </si>
  <si>
    <t>3225 - Fournitures de bureau</t>
  </si>
  <si>
    <t>21 - IMMOBILISATIONS CORPORELLES</t>
  </si>
  <si>
    <t>1044 - Primes de conversion d’obligations en actions</t>
  </si>
  <si>
    <t>7071 - Marchandises (ou groupe) A</t>
  </si>
  <si>
    <t>60223 - Fournitures d’atelier et d’usine</t>
  </si>
  <si>
    <t>5065 - Titres non cotés</t>
  </si>
  <si>
    <t>4084 - Fournisseurs d’immobilisations</t>
  </si>
  <si>
    <t>3224 - Fournitures de magasin</t>
  </si>
  <si>
    <t>208 - Autres immobilisations incorporelles</t>
  </si>
  <si>
    <t>1043 - Primes d’apport</t>
  </si>
  <si>
    <t>707 - Ventes de marchandises</t>
  </si>
  <si>
    <t>60222 - Produits d’entretien</t>
  </si>
  <si>
    <t>5061 - Titres cotés</t>
  </si>
  <si>
    <t>4081 - Fournisseurs</t>
  </si>
  <si>
    <t>3223 - Fournitures d’atelier et d’usine</t>
  </si>
  <si>
    <t>2071 – Ecart résiduel sur fonds agricole</t>
  </si>
  <si>
    <t>1042 - Primes de fusion</t>
  </si>
  <si>
    <t>706 - Prestations de services</t>
  </si>
  <si>
    <t>60221 - Combustibles</t>
  </si>
  <si>
    <t>506 - Obligations</t>
  </si>
  <si>
    <t>408 - Fournisseurs - Factures non parvenues</t>
  </si>
  <si>
    <t>3222 - Produits d’entretien</t>
  </si>
  <si>
    <t>207 - Fonds commercial</t>
  </si>
  <si>
    <t>1041 - Primes d’émission</t>
  </si>
  <si>
    <t>705 - Études</t>
  </si>
  <si>
    <t>6022 - Fournitures consommables</t>
  </si>
  <si>
    <t>505 - Obligations et bons émis par la société et rachetés par elle</t>
  </si>
  <si>
    <t>405 - Fournisseurs d’immobilisations - Effets à payer</t>
  </si>
  <si>
    <t>3221 - Combustibles</t>
  </si>
  <si>
    <t>206 - Droit au bail</t>
  </si>
  <si>
    <t>104 - Primes liées au capital social</t>
  </si>
  <si>
    <t>7042 - Travaux de catégorie (ou activité) B</t>
  </si>
  <si>
    <t>60212 - Matières (ou groupe) D</t>
  </si>
  <si>
    <t>504 - Autres titres conférant un droit de propriété</t>
  </si>
  <si>
    <t>4047 - Fournisseurs d’immobilisations - Retenues de garantie</t>
  </si>
  <si>
    <t>322 - Fournitures consommables</t>
  </si>
  <si>
    <t>205 - Concessions et droits similaires, brevets, licences, marques, procédés, logiciels, droits et valeurs similaires</t>
  </si>
  <si>
    <t>102 - Fonds fiduciaires</t>
  </si>
  <si>
    <t>7041 - Travaux de catégorie (ou activité) A</t>
  </si>
  <si>
    <t>60211 - Matières (ou groupe) C</t>
  </si>
  <si>
    <t>5035 - Titres non cotés</t>
  </si>
  <si>
    <t>4041 - Fournisseurs - Achats d’immobilisations</t>
  </si>
  <si>
    <t>3212 - Matières (ou groupe) D</t>
  </si>
  <si>
    <t>203 - Frais de recherche et de développement</t>
  </si>
  <si>
    <t>1018 - Capital souscrit soumis à des réglementations particulières</t>
  </si>
  <si>
    <t>704 - Travaux</t>
  </si>
  <si>
    <t>6021 - Matières consommables</t>
  </si>
  <si>
    <t>5031 - Titres cotés</t>
  </si>
  <si>
    <t>404 - Fournisseurs d’immobilisations</t>
  </si>
  <si>
    <t>3211 - Matières (ou groupe) C</t>
  </si>
  <si>
    <t>2013 - Frais d’augmentation de capital et d’opérations diverses (fusions, scissions, transformations)</t>
  </si>
  <si>
    <t>10132 - Capital amorti</t>
  </si>
  <si>
    <t>703 - Ventes de produits résiduels</t>
  </si>
  <si>
    <t>602 - Achats stockés - Autres approvisionnements</t>
  </si>
  <si>
    <t>503 - Actions</t>
  </si>
  <si>
    <t>403 - Fournisseurs - Effets à payer</t>
  </si>
  <si>
    <t>321 - Matières consommables</t>
  </si>
  <si>
    <t>20122 - Frais de publicité</t>
  </si>
  <si>
    <t>10131 - Capital non amorti</t>
  </si>
  <si>
    <t>702 - Ventes de produits intermédiaires</t>
  </si>
  <si>
    <t>6017 - Fournitures A, B, C, ...</t>
  </si>
  <si>
    <t>502-2 Actions disponibles pour être attribuées aux employés ou pour la régularisation des cours de bourse</t>
  </si>
  <si>
    <t>4017 - Fournisseurs - Retenues de garantie</t>
  </si>
  <si>
    <t>32 - AUTRES APPROVISIONNEMENTS</t>
  </si>
  <si>
    <t>20121 - Frais de prospection</t>
  </si>
  <si>
    <t>1013 - Capital souscrit - appelé, versé</t>
  </si>
  <si>
    <t>7012 - Produits finis (ou groupe) B</t>
  </si>
  <si>
    <t>6012 - Matières (ou groupe) B</t>
  </si>
  <si>
    <t>502-1 Actions destinées à être attribuées aux employés et affectées à des plans déterminés</t>
  </si>
  <si>
    <t>4011 - Fournisseurs - Achats de biens et prestations de services</t>
  </si>
  <si>
    <t>317 - Fournitures A, B, C, ...</t>
  </si>
  <si>
    <t>2012 - Frais de premier établissement</t>
  </si>
  <si>
    <t>1012 - Capital souscrit - appelé, non versé</t>
  </si>
  <si>
    <t>7011 - Produits finis (ou groupe) A</t>
  </si>
  <si>
    <t>6011 - Matières (ou groupe) A</t>
  </si>
  <si>
    <t>502 - Actions propres</t>
  </si>
  <si>
    <t>401 - Fournisseurs</t>
  </si>
  <si>
    <t>312 - Matières (ou groupe) B</t>
  </si>
  <si>
    <t>2011 - Frais de constitution</t>
  </si>
  <si>
    <t>1011 - Capital souscrit - non appelé</t>
  </si>
  <si>
    <t>701 - Ventes de produits finis</t>
  </si>
  <si>
    <t>601 - Achats stockés - Matières premières (et fournitures)</t>
  </si>
  <si>
    <t>501 - Parts dans des entreprises liées</t>
  </si>
  <si>
    <t>400 - Fournisseurs et Comptes rattachés</t>
  </si>
  <si>
    <t>311 - Matières (ou groupe) A</t>
  </si>
  <si>
    <t>201 - Frais d’établissement</t>
  </si>
  <si>
    <t>101 - Capital</t>
  </si>
  <si>
    <t>70 - VENTES DE PRODUITS FABRIQUES, PRESTATIONS DE SERVICES, MARCHANDISES</t>
  </si>
  <si>
    <t>60 - ACHATS (sauf 603)</t>
  </si>
  <si>
    <t>50 - VALEURS MOBILIERES DE PLACEMENT</t>
  </si>
  <si>
    <t>40 - FOURNISSEURS ET COMPTES RATTACHES</t>
  </si>
  <si>
    <t>31 - MATIERES PREMIERES (ET FOURNITURES)</t>
  </si>
  <si>
    <t>20 - IMMOBILISATIONS INCORPORELLES</t>
  </si>
  <si>
    <t>100 - CAPITAL souscrit</t>
  </si>
  <si>
    <t>Source : http://www.comptanat.fr/pcg/liste.htm</t>
  </si>
  <si>
    <t>CLASSE 7 : COMPTES DE PRODUITS</t>
  </si>
  <si>
    <t>CLASSE 6 : COMPTES DE CHARGES</t>
  </si>
  <si>
    <t>CLASSE 5 : COMPTES FINANCIERS</t>
  </si>
  <si>
    <t>CLASSE 4 : COMPTES DE TIERS</t>
  </si>
  <si>
    <t>CLASSE 3 : COMPTES DE STOCKS ET EN-COURS</t>
  </si>
  <si>
    <t>CLASSE 2 : COMPTES D’IMMOBILISATIONS</t>
  </si>
  <si>
    <t>CLASSE 1 : COMPTES DE CAPITAUX</t>
  </si>
  <si>
    <t>Les 2 valeurs = identiques</t>
  </si>
  <si>
    <t xml:space="preserve">libellé </t>
  </si>
  <si>
    <t xml:space="preserve">fournisseur </t>
  </si>
  <si>
    <t xml:space="preserve">Achats </t>
  </si>
  <si>
    <t xml:space="preserve">montant crédité </t>
  </si>
  <si>
    <t xml:space="preserve">montant débité </t>
  </si>
  <si>
    <t>N° du compte crédité</t>
  </si>
  <si>
    <t>N° du compte débité</t>
  </si>
  <si>
    <t>N° de l'article</t>
  </si>
  <si>
    <t xml:space="preserve">client </t>
  </si>
  <si>
    <t>(-) 66/70</t>
  </si>
  <si>
    <t>Perte de l'exercice avant impôts</t>
  </si>
  <si>
    <t>ou</t>
  </si>
  <si>
    <t>(+) 70/66</t>
  </si>
  <si>
    <t>IX. Bénéfice de l'exercice avant impôts</t>
  </si>
  <si>
    <t>(-) 669</t>
  </si>
  <si>
    <t>   F. Charg exceptionn portées à l’act au titre de frais d restructur</t>
  </si>
  <si>
    <t>664/8</t>
  </si>
  <si>
    <r>
      <t xml:space="preserve">   E. Autres charges exceptionnelles </t>
    </r>
    <r>
      <rPr>
        <sz val="7.5"/>
        <color indexed="8"/>
        <rFont val="Calibri"/>
        <family val="2"/>
      </rPr>
      <t>(ann. XIV, B)</t>
    </r>
  </si>
  <si>
    <t>   D. Moins-values sur réalisation d'actifs immobilisés</t>
  </si>
  <si>
    <t>   C. Provis pour risq et charg except (dot +, utilis -)</t>
  </si>
  <si>
    <t>   B. Réductions de valeur sur immobilisations financières</t>
  </si>
  <si>
    <t>   A. Amortiss et réduct d val exception s/ frais d'établ, immobilis incorp &amp; corp</t>
  </si>
  <si>
    <t>(-) 66</t>
  </si>
  <si>
    <t>VIII. Charges exceptionnelles</t>
  </si>
  <si>
    <t>-</t>
  </si>
  <si>
    <t>764/9</t>
  </si>
  <si>
    <r>
      <t xml:space="preserve">   E. Autres produits exceptionnels </t>
    </r>
    <r>
      <rPr>
        <sz val="7.5"/>
        <color indexed="8"/>
        <rFont val="Calibri"/>
        <family val="2"/>
      </rPr>
      <t>(ann. XIV, A)</t>
    </r>
  </si>
  <si>
    <t>   D. Plus-values sur réalisation d'actifs immobilisés</t>
  </si>
  <si>
    <t>   C. Reprises de provisions pour risques et charges exceptionnels</t>
  </si>
  <si>
    <t>   B. Reprises de réduct de val sur immobilis financières</t>
  </si>
  <si>
    <t>   A. Reprises d'amortiss &amp; de réduct de val s/ immobil incorpor et corpor</t>
  </si>
  <si>
    <t>VII. Produits exceptionnels</t>
  </si>
  <si>
    <t>+</t>
  </si>
  <si>
    <t>(-) 65/70</t>
  </si>
  <si>
    <t>Perte courante avant impôts</t>
  </si>
  <si>
    <t>(+) 70/65</t>
  </si>
  <si>
    <t>VI. Bénéfice courant avant impôts</t>
  </si>
  <si>
    <t>652/9</t>
  </si>
  <si>
    <r>
      <t>   C. Autres charges financières</t>
    </r>
    <r>
      <rPr>
        <sz val="7.5"/>
        <color indexed="8"/>
        <rFont val="Calibri"/>
        <family val="2"/>
      </rPr>
      <t xml:space="preserve"> (ann. XIII, E)</t>
    </r>
  </si>
  <si>
    <r>
      <t xml:space="preserve">   B. Réd d val s/ act circul autres q ceux visés sub. II. E. </t>
    </r>
    <r>
      <rPr>
        <sz val="7.5"/>
        <color indexed="8"/>
        <rFont val="Calibri"/>
        <family val="2"/>
      </rPr>
      <t>(dotat +, repris -) (ann. XIII, D)</t>
    </r>
  </si>
  <si>
    <r>
      <t>   A. Charges des dettes</t>
    </r>
    <r>
      <rPr>
        <sz val="7.5"/>
        <color indexed="8"/>
        <rFont val="Calibri"/>
        <family val="2"/>
      </rPr>
      <t xml:space="preserve"> (ann. XIII, B et C)</t>
    </r>
  </si>
  <si>
    <t>(-) 65</t>
  </si>
  <si>
    <t>V. Charges financières</t>
  </si>
  <si>
    <t>752/9</t>
  </si>
  <si>
    <r>
      <t>   C. Autres produits financiers</t>
    </r>
    <r>
      <rPr>
        <sz val="7.5"/>
        <color indexed="8"/>
        <rFont val="Calibri"/>
        <family val="2"/>
      </rPr>
      <t xml:space="preserve"> (ann. XIII, A)</t>
    </r>
  </si>
  <si>
    <t>   B. Produits des actifs circulants</t>
  </si>
  <si>
    <t>   A. Produits des immobilisations financières</t>
  </si>
  <si>
    <t>IV. Produits financiers</t>
  </si>
  <si>
    <t>(-) 64/70</t>
  </si>
  <si>
    <t>Perte d'exploitation</t>
  </si>
  <si>
    <t>(+) 70/64</t>
  </si>
  <si>
    <t>III. Bénéfice d'exploitation</t>
  </si>
  <si>
    <t>(-) 649</t>
  </si>
  <si>
    <t>   H. Charges d'exploitation portées à l'actif au titre de frais de restructuration</t>
  </si>
  <si>
    <t>640/8</t>
  </si>
  <si>
    <r>
      <t>   G. Autres charges d'exploitation</t>
    </r>
    <r>
      <rPr>
        <sz val="7.5"/>
        <color indexed="8"/>
        <rFont val="Calibri"/>
        <family val="2"/>
      </rPr>
      <t xml:space="preserve"> (ann. XII, F)</t>
    </r>
  </si>
  <si>
    <t>635/7</t>
  </si>
  <si>
    <r>
      <t>   F. Provisions pour risques et charges (dotations +, utilisat et repris -)</t>
    </r>
    <r>
      <rPr>
        <sz val="7.5"/>
        <color indexed="8"/>
        <rFont val="Calibri"/>
        <family val="2"/>
      </rPr>
      <t xml:space="preserve"> (ann. XII, C3 et E)</t>
    </r>
  </si>
  <si>
    <t>631/4</t>
  </si>
  <si>
    <r>
      <t xml:space="preserve">   E. Réd d val s/ stock, comm. en crs d'exéc &amp; créanc comm. </t>
    </r>
    <r>
      <rPr>
        <sz val="7.5"/>
        <color indexed="8"/>
        <rFont val="Calibri"/>
        <family val="2"/>
      </rPr>
      <t>(dotations +, reprises -) (ann. XII, D)</t>
    </r>
  </si>
  <si>
    <t>   D. Amortiss &amp; réduct d val sur frais d'établiss, immobilis incorp &amp; corp</t>
  </si>
  <si>
    <r>
      <t>   C. Rémunérations, charges sociales et pensions</t>
    </r>
    <r>
      <rPr>
        <sz val="7.5"/>
        <color indexed="8"/>
        <rFont val="Calibri"/>
        <family val="2"/>
      </rPr>
      <t xml:space="preserve"> (ann. XII, C2)</t>
    </r>
  </si>
  <si>
    <t>   B. Services et biens divers</t>
  </si>
  <si>
    <r>
      <t xml:space="preserve">      2. Variation des stocks </t>
    </r>
    <r>
      <rPr>
        <sz val="7.5"/>
        <color indexed="8"/>
        <rFont val="Calibri"/>
        <family val="2"/>
      </rPr>
      <t>(augmentation -, réduction +)</t>
    </r>
  </si>
  <si>
    <t>600/8</t>
  </si>
  <si>
    <t>      1. Achats</t>
  </si>
  <si>
    <t>marchand fournisseurs</t>
  </si>
  <si>
    <t>   A. Approvisionnements et marchandises</t>
  </si>
  <si>
    <t>(-) 60/64</t>
  </si>
  <si>
    <t>II. Coût des ventes et des prestations</t>
  </si>
  <si>
    <r>
      <t xml:space="preserve">   D. Autres produits d'exploitation </t>
    </r>
    <r>
      <rPr>
        <sz val="7.5"/>
        <color indexed="8"/>
        <rFont val="Calibri"/>
        <family val="2"/>
      </rPr>
      <t>(ann. XII, B)</t>
    </r>
  </si>
  <si>
    <t>   C. Production immobilisée</t>
  </si>
  <si>
    <r>
      <t xml:space="preserve">   B. Variat des en-cours de fabric., des prod. finis et des comm. en cours d'exécution </t>
    </r>
    <r>
      <rPr>
        <sz val="7.5"/>
        <color indexed="8"/>
        <rFont val="Calibri"/>
        <family val="2"/>
      </rPr>
      <t>(augment +, réduct -)</t>
    </r>
  </si>
  <si>
    <t>marchand aux clients</t>
  </si>
  <si>
    <r>
      <t xml:space="preserve">   A. Chiffre d’affaires </t>
    </r>
    <r>
      <rPr>
        <sz val="7.5"/>
        <color indexed="8"/>
        <rFont val="Calibri"/>
        <family val="2"/>
      </rPr>
      <t>(annexe XII, A)                   (</t>
    </r>
    <r>
      <rPr>
        <sz val="12"/>
        <color indexed="8"/>
        <rFont val="Calibri"/>
        <family val="2"/>
      </rPr>
      <t xml:space="preserve"> HTVA)</t>
    </r>
  </si>
  <si>
    <t>70/74</t>
  </si>
  <si>
    <t>I. Ventes et prestations</t>
  </si>
  <si>
    <t>Résultat (sous forme de liste)</t>
  </si>
  <si>
    <t>2- Sélectionnez PPCN!$A$1:$G$1 et nommez cette zone Plan2</t>
  </si>
  <si>
    <t>1- Sélectionnez PPCN!$A$1:$A$261 et nommez cette zone Plan1 (via le gestionnaire de noms, ou directement dans la zone au-dessus de la 1° colonne).</t>
  </si>
  <si>
    <t>5ème vérif.Tous les totaux doivent être identiques</t>
  </si>
  <si>
    <t>TVA  sur ventes</t>
  </si>
  <si>
    <t>STOCK</t>
  </si>
  <si>
    <t>Total crédit</t>
  </si>
  <si>
    <t>Numéro</t>
  </si>
  <si>
    <t>c'est ici qu'il faut inscrire les soldes débiteurs (SD) et soldes créditeurs(SC)</t>
  </si>
  <si>
    <t>Balance des comptes</t>
  </si>
  <si>
    <t>10/49</t>
  </si>
  <si>
    <t>TOTAL DU PASSIF</t>
  </si>
  <si>
    <t>492/3</t>
  </si>
  <si>
    <r>
      <t xml:space="preserve">X. Comptes de régularisation </t>
    </r>
    <r>
      <rPr>
        <sz val="11"/>
        <color theme="1"/>
        <rFont val="Times New Roman"/>
        <family val="2"/>
        <scheme val="minor"/>
      </rPr>
      <t>(ann. XI)</t>
    </r>
  </si>
  <si>
    <t>47/48</t>
  </si>
  <si>
    <t>Autres dettes</t>
  </si>
  <si>
    <t>F.</t>
  </si>
  <si>
    <t>454/9</t>
  </si>
  <si>
    <t>Rémunérations et charges sociales</t>
  </si>
  <si>
    <t>2.</t>
  </si>
  <si>
    <t>450/3</t>
  </si>
  <si>
    <t>Impôts</t>
  </si>
  <si>
    <t>1.</t>
  </si>
  <si>
    <t>Dettes fiscales, salariales et sociales</t>
  </si>
  <si>
    <t>E.</t>
  </si>
  <si>
    <t>Acomptes reçus sur commandes</t>
  </si>
  <si>
    <t>D.</t>
  </si>
  <si>
    <t>Effets à payer</t>
  </si>
  <si>
    <t>440/4</t>
  </si>
  <si>
    <t>Dettes commerciales</t>
  </si>
  <si>
    <t>C.</t>
  </si>
  <si>
    <t>Autres emprunts</t>
  </si>
  <si>
    <t>430/8</t>
  </si>
  <si>
    <t>Etablissements de crédit</t>
  </si>
  <si>
    <t>Dettes financières</t>
  </si>
  <si>
    <t>B.</t>
  </si>
  <si>
    <t>Dettes à plus d'un an échéant dans l'année</t>
  </si>
  <si>
    <t>A.</t>
  </si>
  <si>
    <t>42/48</t>
  </si>
  <si>
    <r>
      <t xml:space="preserve">IX. Dettes à un an au plus </t>
    </r>
    <r>
      <rPr>
        <sz val="11"/>
        <color theme="1"/>
        <rFont val="Times New Roman"/>
        <family val="2"/>
        <scheme val="minor"/>
      </rPr>
      <t>(ann. X)</t>
    </r>
  </si>
  <si>
    <t>178/9</t>
  </si>
  <si>
    <t>5.</t>
  </si>
  <si>
    <t>4.</t>
  </si>
  <si>
    <t>Dettes de location-financement et assimilées</t>
  </si>
  <si>
    <t>3.</t>
  </si>
  <si>
    <t>Emprunts obligataires non subordonnés</t>
  </si>
  <si>
    <t>Emprunts subordonnés</t>
  </si>
  <si>
    <t>170/4</t>
  </si>
  <si>
    <r>
      <t>VIII. Dettes à plus d'un an</t>
    </r>
    <r>
      <rPr>
        <sz val="11"/>
        <color theme="1"/>
        <rFont val="Times New Roman"/>
        <family val="2"/>
        <scheme val="minor"/>
      </rPr>
      <t xml:space="preserve"> (ann. X)</t>
    </r>
  </si>
  <si>
    <t>17/49</t>
  </si>
  <si>
    <t>DETTES</t>
  </si>
  <si>
    <t>Impôts différés</t>
  </si>
  <si>
    <t>163/5</t>
  </si>
  <si>
    <t>Autres risques et charges (ann. IX)</t>
  </si>
  <si>
    <t xml:space="preserve">Grosses répartitions et gros entretiens </t>
  </si>
  <si>
    <t>Charges fiscales</t>
  </si>
  <si>
    <t>Pensions et obligations similaires</t>
  </si>
  <si>
    <t>160/5</t>
  </si>
  <si>
    <t>Provisions pour risques et charges</t>
  </si>
  <si>
    <t>PROVISIONS ET IMPOTS DIFFERES</t>
  </si>
  <si>
    <t>VI. Subsides en capital</t>
  </si>
  <si>
    <t>Perte reportée</t>
  </si>
  <si>
    <t>V. Bénéfice reporté</t>
  </si>
  <si>
    <t>Réserves disponibles</t>
  </si>
  <si>
    <t>Réserves immunisées</t>
  </si>
  <si>
    <t>Autres</t>
  </si>
  <si>
    <t>Pour actions propres</t>
  </si>
  <si>
    <t>Réserves indisponibles</t>
  </si>
  <si>
    <t>ll. Primes d'émission</t>
  </si>
  <si>
    <t>Capital non appelé</t>
  </si>
  <si>
    <t>Capital souscrit</t>
  </si>
  <si>
    <r>
      <t>l. Capital</t>
    </r>
    <r>
      <rPr>
        <sz val="11"/>
        <color theme="1"/>
        <rFont val="Times New Roman"/>
        <family val="2"/>
        <scheme val="minor"/>
      </rPr>
      <t xml:space="preserve"> (ann. VIII)</t>
    </r>
  </si>
  <si>
    <t>10/15</t>
  </si>
  <si>
    <t>Capitaux Propres</t>
  </si>
  <si>
    <t>Final</t>
  </si>
  <si>
    <t>Initial</t>
  </si>
  <si>
    <t>Codes</t>
  </si>
  <si>
    <t>PASSIF</t>
  </si>
  <si>
    <t>20/58</t>
  </si>
  <si>
    <t>TOTAL DE L'ACTIF</t>
  </si>
  <si>
    <t>490/1</t>
  </si>
  <si>
    <t>X. Comptes de régularisation (ann. VIII)</t>
  </si>
  <si>
    <t>54/58</t>
  </si>
  <si>
    <t>Banque + banque poste + caisse      OK</t>
  </si>
  <si>
    <t>IX. Valeurs disponibles</t>
  </si>
  <si>
    <t>51/53</t>
  </si>
  <si>
    <t>Autres placements</t>
  </si>
  <si>
    <t xml:space="preserve">Actions propres </t>
  </si>
  <si>
    <t>50/53</t>
  </si>
  <si>
    <t>VIII. Placements de trésorerie (ann. V et Vl)</t>
  </si>
  <si>
    <t>Autres créances</t>
  </si>
  <si>
    <t>Créances commerciales</t>
  </si>
  <si>
    <t>40/41</t>
  </si>
  <si>
    <t>VII. Créances à un an au plus</t>
  </si>
  <si>
    <t>Commandes en cours d'éxécution</t>
  </si>
  <si>
    <t>Acomptes versés</t>
  </si>
  <si>
    <t>6.</t>
  </si>
  <si>
    <t>Immeubles destinés à la vente</t>
  </si>
  <si>
    <t>Produits finis</t>
  </si>
  <si>
    <t>En-cours de fabrication</t>
  </si>
  <si>
    <t>30/31</t>
  </si>
  <si>
    <t>Approvisionnements</t>
  </si>
  <si>
    <t>30/36</t>
  </si>
  <si>
    <t>VI. Stocks et commandes en cours d'éxécution</t>
  </si>
  <si>
    <t>V. Créances à plus d'un an</t>
  </si>
  <si>
    <t>29/58</t>
  </si>
  <si>
    <t>somme de ( V + VI + VII + VIII + IX + X)</t>
  </si>
  <si>
    <t>ACTIFS CIRCULANTS</t>
  </si>
  <si>
    <t>285/8</t>
  </si>
  <si>
    <t>Créances et cautionnements en numéraire</t>
  </si>
  <si>
    <t>Actions et parts</t>
  </si>
  <si>
    <t>284/8</t>
  </si>
  <si>
    <t>Autres immobilisations financières</t>
  </si>
  <si>
    <t>Créances</t>
  </si>
  <si>
    <t>Participations</t>
  </si>
  <si>
    <t>282/3</t>
  </si>
  <si>
    <t>Autres entreprises avec lesquelles il existe un lien de participation</t>
  </si>
  <si>
    <t>28/01</t>
  </si>
  <si>
    <t>Entreprises liées</t>
  </si>
  <si>
    <r>
      <rPr>
        <b/>
        <sz val="11"/>
        <color theme="1"/>
        <rFont val="Times New Roman"/>
        <family val="2"/>
        <scheme val="minor"/>
      </rPr>
      <t xml:space="preserve">IV. Immobilisations financières </t>
    </r>
    <r>
      <rPr>
        <sz val="11"/>
        <color theme="1"/>
        <rFont val="Times New Roman"/>
        <family val="2"/>
        <scheme val="minor"/>
      </rPr>
      <t>(ann. IV et V)</t>
    </r>
  </si>
  <si>
    <t>Immobilisations en cours et acomptes versés</t>
  </si>
  <si>
    <t>Autres immobilisations corporelles</t>
  </si>
  <si>
    <t>Location-financement et droits similaires</t>
  </si>
  <si>
    <t>Mobilier et matériel roulant</t>
  </si>
  <si>
    <t>Installations, machines et outillage</t>
  </si>
  <si>
    <t>Terrains et constructions</t>
  </si>
  <si>
    <t>22/27</t>
  </si>
  <si>
    <r>
      <rPr>
        <b/>
        <sz val="11"/>
        <color theme="1"/>
        <rFont val="Times New Roman"/>
        <family val="2"/>
        <scheme val="minor"/>
      </rPr>
      <t>lll. Immobilisations corporelles</t>
    </r>
    <r>
      <rPr>
        <sz val="11"/>
        <color theme="1"/>
        <rFont val="Times New Roman"/>
        <family val="2"/>
        <scheme val="minor"/>
      </rPr>
      <t xml:space="preserve"> (ann.lll)</t>
    </r>
  </si>
  <si>
    <r>
      <rPr>
        <b/>
        <sz val="11"/>
        <color theme="1"/>
        <rFont val="Times New Roman"/>
        <family val="2"/>
        <scheme val="minor"/>
      </rPr>
      <t xml:space="preserve">ll. Immobilisations incorporelles </t>
    </r>
    <r>
      <rPr>
        <sz val="11"/>
        <color theme="1"/>
        <rFont val="Times New Roman"/>
        <family val="2"/>
        <scheme val="minor"/>
      </rPr>
      <t>(ann. ll)</t>
    </r>
  </si>
  <si>
    <r>
      <rPr>
        <b/>
        <sz val="11"/>
        <color theme="1"/>
        <rFont val="Times New Roman"/>
        <family val="2"/>
        <scheme val="minor"/>
      </rPr>
      <t xml:space="preserve">l. Frais d'établissement </t>
    </r>
    <r>
      <rPr>
        <sz val="11"/>
        <color theme="1"/>
        <rFont val="Times New Roman"/>
        <family val="2"/>
        <scheme val="minor"/>
      </rPr>
      <t xml:space="preserve">(annexe l) </t>
    </r>
  </si>
  <si>
    <t>20/28</t>
  </si>
  <si>
    <t>somme de (I + II + III + IV)</t>
  </si>
  <si>
    <t>ACTIFS IMMOBILISES</t>
  </si>
  <si>
    <t>ACTIF</t>
  </si>
  <si>
    <t xml:space="preserve"> 1. BILAN APRES REPARTITION</t>
  </si>
  <si>
    <t>Total du MOIS</t>
  </si>
  <si>
    <t>Vérif.</t>
  </si>
  <si>
    <t>Banq</t>
  </si>
  <si>
    <t>centralisation</t>
  </si>
  <si>
    <t xml:space="preserve">Libellé </t>
  </si>
  <si>
    <t>de mars</t>
  </si>
  <si>
    <t>Bq clients©</t>
  </si>
  <si>
    <t>Bq fourn(D)</t>
  </si>
  <si>
    <t>Achats</t>
  </si>
  <si>
    <t>Achats HTVA</t>
  </si>
  <si>
    <t>Fournisseurs du MOIS</t>
  </si>
  <si>
    <t xml:space="preserve">Total TVA </t>
  </si>
  <si>
    <t>Ventes HTVA</t>
  </si>
  <si>
    <t>Clients du MOIS</t>
  </si>
  <si>
    <t xml:space="preserve">payement de </t>
  </si>
  <si>
    <t xml:space="preserve">libellé  </t>
  </si>
  <si>
    <t xml:space="preserve"> Fournisseur  </t>
  </si>
  <si>
    <t>extrait N°</t>
  </si>
  <si>
    <t xml:space="preserve">Banque </t>
  </si>
  <si>
    <t xml:space="preserve">Banque  </t>
  </si>
  <si>
    <t>paye</t>
  </si>
  <si>
    <t xml:space="preserve">Banq (C-) </t>
  </si>
  <si>
    <t>Fourn(D-)</t>
  </si>
  <si>
    <t xml:space="preserve">Journal FINANCIER DU MOIS </t>
  </si>
  <si>
    <t xml:space="preserve">Client </t>
  </si>
  <si>
    <t xml:space="preserve"> Banque</t>
  </si>
  <si>
    <t>crédit</t>
  </si>
  <si>
    <t>Débit</t>
  </si>
  <si>
    <t>débit</t>
  </si>
  <si>
    <t>compte</t>
  </si>
  <si>
    <t>l'article</t>
  </si>
  <si>
    <t>N° du</t>
  </si>
  <si>
    <t>N° de</t>
  </si>
  <si>
    <t>Clients (C-)</t>
  </si>
  <si>
    <t>Banq (D+)</t>
  </si>
  <si>
    <t>Journal FINANCIER  du mois</t>
  </si>
  <si>
    <t>240 - Mobilier</t>
  </si>
  <si>
    <t>4117 - Accompte versée</t>
  </si>
  <si>
    <t>440 - fournisseur</t>
  </si>
  <si>
    <t>604 - achat marchandises</t>
  </si>
  <si>
    <t>61210 - Belgacom</t>
  </si>
  <si>
    <t>700 - ventes de marchandises</t>
  </si>
  <si>
    <t>360 - Stock</t>
  </si>
  <si>
    <t>237 - Outillages</t>
  </si>
  <si>
    <t>170 - emprunt</t>
  </si>
  <si>
    <t>550 - Banque</t>
  </si>
  <si>
    <t>560 - Banque de la poste</t>
  </si>
  <si>
    <t>570 - Caisse</t>
  </si>
  <si>
    <t>4110 - TVA à récup.</t>
  </si>
  <si>
    <t>3- Sélectionnez la zone Bal des comptes!B7:B21, aller dans : DONNEES : Validation des données : choisir : liste  dans formule : inscrirre  la formule suivante :</t>
  </si>
  <si>
    <t>Plan10 est défini par la 1er colonne uniquement du fichier PCMN ( et doit aller jusqu'a la dernière ligne utilisée de la feuille PCMN)</t>
  </si>
  <si>
    <t>Plan20 est défini par la 1er ligne du fichier PCMN</t>
  </si>
  <si>
    <t>"=SI(NB.SI(Plan20;B7)=0;Plan20;DECALER(Plan10;1;EQUIV(B7;Plan20;0)-1;NBVAL(DECALER(Plan10;;EQUIV(B7;Plan20;0)-1))-1))"</t>
  </si>
  <si>
    <t>RECOMMANDATION : pour pouvoir changer dans données : validation des données : source  il faut utiliser la touche F2</t>
  </si>
  <si>
    <t xml:space="preserve">4510 - T.V.A. à payer </t>
  </si>
  <si>
    <t>TVA sur achats</t>
  </si>
  <si>
    <t>Val. Init</t>
  </si>
  <si>
    <t>Bq clients</t>
  </si>
  <si>
    <t>Fournisseurs (C-) dans  :</t>
  </si>
  <si>
    <t>Total fourn. :  Gr liv ACT-PAS</t>
  </si>
  <si>
    <t>Facture- Clients</t>
  </si>
  <si>
    <t>Banq - Clients</t>
  </si>
  <si>
    <t>Banq -Fourn.</t>
  </si>
  <si>
    <t>Facture - Fourn.</t>
  </si>
  <si>
    <t>ventes HTVA</t>
  </si>
  <si>
    <t>tout TVAC</t>
  </si>
  <si>
    <t>viens fourn (D-)</t>
  </si>
  <si>
    <t>viens  clients (C-)</t>
  </si>
  <si>
    <t>HTVA (D+)</t>
  </si>
  <si>
    <t>Bq post</t>
  </si>
  <si>
    <t>(I+II+III+IV)</t>
  </si>
  <si>
    <t>Client</t>
  </si>
  <si>
    <t>ventes clients</t>
  </si>
  <si>
    <t>Débiteur</t>
  </si>
  <si>
    <t>Créditeur</t>
  </si>
  <si>
    <t>voir compte résultat</t>
  </si>
  <si>
    <t>crédit &gt; débit = bénéf</t>
  </si>
  <si>
    <t>voir dans BILAN AC-PA</t>
  </si>
  <si>
    <t>Tot actif</t>
  </si>
  <si>
    <t>Tot passif</t>
  </si>
  <si>
    <t>"=INDEX('Val-Départ'!B$1:B$19;MIN(SI(NB.SI('Liv. comp.four-client.'!E$11:E11;'Val-Départ'!B$12:B$19)=0;LIGNE($12:$19))))</t>
  </si>
  <si>
    <t>"=SI(F35="";"";GAUCHE(F35;CHERCHE(" ";F35)-1))</t>
  </si>
  <si>
    <t>fonction qui permet de trouver le début d'un d'une phrase</t>
  </si>
  <si>
    <t xml:space="preserve">Recherche du caractère (vide) ensuite on fait -1, il reste 170 coté gauche </t>
  </si>
  <si>
    <t xml:space="preserve">TVA achats  </t>
  </si>
  <si>
    <t>VI</t>
  </si>
  <si>
    <t>Fourn. Bq</t>
  </si>
  <si>
    <t>Fourn. Post</t>
  </si>
  <si>
    <t>Fourn. Caisse</t>
  </si>
  <si>
    <t>Caisse</t>
  </si>
  <si>
    <t>Client Bq</t>
  </si>
  <si>
    <t>Client Caisse</t>
  </si>
  <si>
    <t>Client Post</t>
  </si>
  <si>
    <t>Banque clients</t>
  </si>
  <si>
    <t>Bq post - clients</t>
  </si>
  <si>
    <t>Caisse - clients</t>
  </si>
  <si>
    <t>Clients - Banque</t>
  </si>
  <si>
    <t>Clients  - Bq post</t>
  </si>
  <si>
    <t>Clients - caisse</t>
  </si>
  <si>
    <t>Fournisseurs - banque</t>
  </si>
  <si>
    <t>Fournisseurs - Bq post</t>
  </si>
  <si>
    <t>Fournisseurs - Caisse</t>
  </si>
  <si>
    <t>Banque out</t>
  </si>
  <si>
    <t>Banque in</t>
  </si>
  <si>
    <t>Transfert Bq post vers :</t>
  </si>
  <si>
    <t xml:space="preserve">Transfert Caises vers : </t>
  </si>
  <si>
    <t xml:space="preserve">Transferts Banque vers : </t>
  </si>
  <si>
    <t>Bq post out</t>
  </si>
  <si>
    <t>Caisse out</t>
  </si>
  <si>
    <t>Bq post in</t>
  </si>
  <si>
    <t>Caisse in</t>
  </si>
  <si>
    <t>Emprunt in</t>
  </si>
  <si>
    <t>Emprunt out</t>
  </si>
  <si>
    <t>Bq post - Fourn.</t>
  </si>
  <si>
    <t>Caisse-Fourn.</t>
  </si>
  <si>
    <t>Caisse-clients</t>
  </si>
  <si>
    <t>Bq fourn.</t>
  </si>
  <si>
    <t>banq fourn</t>
  </si>
  <si>
    <t>xxxxxxxxxxxx</t>
  </si>
  <si>
    <t>IN</t>
  </si>
  <si>
    <t>OUT</t>
  </si>
  <si>
    <t>Entrée Caisse</t>
  </si>
  <si>
    <t>Caisse In</t>
  </si>
  <si>
    <t>Bq post Fourn.</t>
  </si>
  <si>
    <t>Caisse Fourn.</t>
  </si>
  <si>
    <t>TOUTES LES TRANSACTIONS DE LA BANQUE AVEC CLIENTS ET FOURNISSEURS</t>
  </si>
  <si>
    <t>Journal FINANCIER  BANQUE du mois de :</t>
  </si>
  <si>
    <t>date :</t>
  </si>
  <si>
    <t>Fact fourn.</t>
  </si>
  <si>
    <t>à récupérer</t>
  </si>
  <si>
    <t>Ventes</t>
  </si>
  <si>
    <t>BANQUE du mois de :</t>
  </si>
  <si>
    <t>Différence  (Bq client - Bq fourn.) DANS Gr liv ACT-PAS</t>
  </si>
  <si>
    <t>&lt;&lt;&lt;&lt;&lt;&lt;&lt;&lt;&lt;&lt;&lt;&lt;&lt;&lt;&lt;&lt;&lt;&lt;&lt;&lt;&lt;&lt;&lt;&lt;&lt;&lt;&lt;&lt;&lt;&lt;</t>
  </si>
  <si>
    <t>BILAN</t>
  </si>
  <si>
    <t>Actifs immobiliers</t>
  </si>
  <si>
    <t>Capitaux propres</t>
  </si>
  <si>
    <t>III</t>
  </si>
  <si>
    <t>Installation Machine</t>
  </si>
  <si>
    <t>Outils</t>
  </si>
  <si>
    <t>Matériel roulant</t>
  </si>
  <si>
    <t>Actifs Circulants</t>
  </si>
  <si>
    <t>VIII</t>
  </si>
  <si>
    <t>Créances à plus 1an</t>
  </si>
  <si>
    <t>IX</t>
  </si>
  <si>
    <t>Valeurs disponibles</t>
  </si>
  <si>
    <t>I</t>
  </si>
  <si>
    <t>V</t>
  </si>
  <si>
    <t>Bénéfice reporté</t>
  </si>
  <si>
    <t>Dettes à plus 1 an</t>
  </si>
  <si>
    <t>Dette financière</t>
  </si>
  <si>
    <t>Dettes fiscales</t>
  </si>
  <si>
    <t>VII</t>
  </si>
  <si>
    <t>ventes - achats (HTVA)</t>
  </si>
  <si>
    <t>Terrain et construction</t>
  </si>
  <si>
    <t>I.M.O</t>
  </si>
  <si>
    <t>&lt;&lt;&lt;&lt;&lt;&lt;&lt;&lt;&lt;&lt;&lt;&lt;&lt;&lt;&lt;&lt;&lt;&lt;&lt;&lt;&lt;&lt;&lt;&lt;&lt;&lt;&lt;&lt;&lt;&lt;&lt;&lt;&lt;&lt;&lt;&lt;&lt;&lt;&lt;&lt;&lt;&lt;</t>
  </si>
  <si>
    <t>Facture FOURNISSEURS</t>
  </si>
  <si>
    <t>xxxxxxxxxxxxxxxxxxxxxx</t>
  </si>
  <si>
    <t>Autres créances    TVA ACHATS</t>
  </si>
  <si>
    <t>clients HTVA</t>
  </si>
  <si>
    <t>Au départ V.I. doivent être identiques</t>
  </si>
  <si>
    <t>tva fourn ou tva récup</t>
  </si>
  <si>
    <t>fournisseurs HTVA</t>
  </si>
  <si>
    <t>Total  V.I.</t>
  </si>
  <si>
    <t xml:space="preserve">Total V.I. </t>
  </si>
  <si>
    <t>Dans BIL-AC-PA</t>
  </si>
  <si>
    <t>Dans balance des comptes</t>
  </si>
  <si>
    <t xml:space="preserve">Montant </t>
  </si>
  <si>
    <t>Val-Dép &gt;&gt;&gt; AL46</t>
  </si>
  <si>
    <t>Val-Dép &gt;&gt;&gt; AE26</t>
  </si>
  <si>
    <t>Journal FINANCIER   BANQUE   du mois</t>
  </si>
  <si>
    <t>Extr N°</t>
  </si>
  <si>
    <t>Payement</t>
  </si>
  <si>
    <t>Facture N°</t>
  </si>
  <si>
    <t xml:space="preserve"> CLIENTS DU MOIS UNIQUEMENT</t>
  </si>
  <si>
    <t>Ce que la Banque à reçu des CLIENTS de :</t>
  </si>
  <si>
    <t>"=SI(ARRONDI(H4;2)=ARRONDI(A4+E4;2);H4;AC5)</t>
  </si>
  <si>
    <t>"=SI(ARRONDI(H4;2)=ARRONDI(A4+E4;2);H4;"0")</t>
  </si>
  <si>
    <t>valeur initiale du client</t>
  </si>
  <si>
    <t>Inscrire ici les factures CLIENTS</t>
  </si>
  <si>
    <t>Num cli</t>
  </si>
  <si>
    <t>PMCN</t>
  </si>
  <si>
    <t>dénomination</t>
  </si>
  <si>
    <t>Fact-N°</t>
  </si>
  <si>
    <t>escompte</t>
  </si>
  <si>
    <t>Transport</t>
  </si>
  <si>
    <t>RRR</t>
  </si>
  <si>
    <t>embalage</t>
  </si>
  <si>
    <t>Base impot</t>
  </si>
  <si>
    <t>TVA%</t>
  </si>
  <si>
    <t>tva non marchan</t>
  </si>
  <si>
    <t>TVA marchand</t>
  </si>
  <si>
    <t>TVA/NC</t>
  </si>
  <si>
    <t>emballage</t>
  </si>
  <si>
    <t>Embal/ap/tva</t>
  </si>
  <si>
    <t>TVA DUE</t>
  </si>
  <si>
    <t>Nom client</t>
  </si>
  <si>
    <t>extrait</t>
  </si>
  <si>
    <t>date</t>
  </si>
  <si>
    <t>montant(+)</t>
  </si>
  <si>
    <t>F72</t>
  </si>
  <si>
    <t>9</t>
  </si>
  <si>
    <t>10</t>
  </si>
  <si>
    <t>11</t>
  </si>
  <si>
    <t>12</t>
  </si>
  <si>
    <t>non marchand</t>
  </si>
  <si>
    <t>Idem</t>
  </si>
  <si>
    <t>Effacer ici</t>
  </si>
  <si>
    <t>effacer ICI seulement</t>
  </si>
  <si>
    <t>TOTAL TVA</t>
  </si>
  <si>
    <t>NC/tva</t>
  </si>
  <si>
    <t>Jour Ach-Ven</t>
  </si>
  <si>
    <t>valeur initiale du fournisseur</t>
  </si>
  <si>
    <t>Entret.immo.</t>
  </si>
  <si>
    <t>FACTURES -des- FOURNISSEURS</t>
  </si>
  <si>
    <t>Nouvelle</t>
  </si>
  <si>
    <t>Num Four</t>
  </si>
  <si>
    <t>fournisseurs</t>
  </si>
  <si>
    <t>Escompte</t>
  </si>
  <si>
    <t>Embal Av tva</t>
  </si>
  <si>
    <t>Base-impot</t>
  </si>
  <si>
    <t>TVA %</t>
  </si>
  <si>
    <t>tva marchand</t>
  </si>
  <si>
    <t>après tva</t>
  </si>
  <si>
    <t>Tot TVAC</t>
  </si>
  <si>
    <t>Num Fourn</t>
  </si>
  <si>
    <t>Nom Fourn</t>
  </si>
  <si>
    <t>F441</t>
  </si>
  <si>
    <t xml:space="preserve">Certaines fonctions peuvent déduire la TVA </t>
  </si>
  <si>
    <t xml:space="preserve">NC TVA </t>
  </si>
  <si>
    <t>"(RECHERCHEV(E19;'Val-Départ'!E26:H26;2;FAUX)"</t>
  </si>
  <si>
    <t>"=SI(P15=D15;P15;SI(P15=D15+I5;P5;SI(P15=I15;P5;SI(P15="";P15;""))))"</t>
  </si>
  <si>
    <t>"=SI(ESTNA(RECHERCHEV($E$19;'Val-Départ'!$E$26:$H$26;2;FAUX));";RECHERCHEV($E$19;'Val-Départ'!$E$26:$H$26;2;FAUX))"</t>
  </si>
  <si>
    <t>le  " devant et à la fin de la formule, éviter que la formule soit active</t>
  </si>
  <si>
    <t>1- recherche dans fichier Gr livACT-PAS dans la case E19 (mobilier)</t>
  </si>
  <si>
    <t>2- dans fichier Val-départ la case de (E26 à H33) le mot (mobilier)</t>
  </si>
  <si>
    <t>3- la 2eme colonne</t>
  </si>
  <si>
    <t>4- faux désigne si une erreur est possible</t>
  </si>
  <si>
    <t>Si on a une erreur du type #N/A, on ajoute alors</t>
  </si>
  <si>
    <t>=SI(ESTNA</t>
  </si>
  <si>
    <t>Pour éviter l'inscription #N/A</t>
  </si>
  <si>
    <t>;""; indique de laisser la case vide</t>
  </si>
  <si>
    <r>
      <t xml:space="preserve">et on ajoute l'instruction </t>
    </r>
    <r>
      <rPr>
        <b/>
        <sz val="11"/>
        <color theme="1"/>
        <rFont val="Times New Roman"/>
        <family val="2"/>
        <scheme val="minor"/>
      </rPr>
      <t>RECHERCHEV(E19;'Val-Départ'!E26:H26;2;FAUX)</t>
    </r>
    <r>
      <rPr>
        <sz val="11"/>
        <color theme="1"/>
        <rFont val="Times New Roman"/>
        <family val="2"/>
        <scheme val="minor"/>
      </rPr>
      <t>"</t>
    </r>
  </si>
  <si>
    <t>$E$19 le signe $ indique de garder la case et ainsi d'éviter des erreurs</t>
  </si>
  <si>
    <t>Cette formule permet d'éviter d'écrire le résultat de "mobilier" - "machine" - "outillage" et "valeur vide" dans (600    ACHATS MARCHANDISES)</t>
  </si>
  <si>
    <t>=SI(OU('Val-Départ'!$E$26=mobilier";'Val-Départ'!$E$26="outillage";'Val-Départ'!$E$26="machine";'Val-Départ'!$E$26="")</t>
  </si>
  <si>
    <t>;" ";RECHERCHEV('Val-Départ'!$E$26;'Val-Départ'!$E$26:$H$26;3;FAUX))"</t>
  </si>
  <si>
    <t>Tous les Achats du mois SANS V.I.</t>
  </si>
  <si>
    <t>journal des ACHATS  du mois (sans V.I.)</t>
  </si>
  <si>
    <t xml:space="preserve">Journal des VENTES du MOIS de : </t>
  </si>
  <si>
    <t>N° PCMN</t>
  </si>
  <si>
    <t xml:space="preserve">TVA </t>
  </si>
  <si>
    <t>à récup</t>
  </si>
  <si>
    <t>Tot</t>
  </si>
  <si>
    <t>Libellé</t>
  </si>
  <si>
    <t>Taxe</t>
  </si>
  <si>
    <t xml:space="preserve">Vente </t>
  </si>
  <si>
    <t>Montant crédit</t>
  </si>
  <si>
    <t>Montant Débit</t>
  </si>
  <si>
    <t xml:space="preserve">HTVA </t>
  </si>
  <si>
    <t>Journal des VENTES du MOIS (sans V.I.)</t>
  </si>
  <si>
    <t>JOURNAL DES VENTES</t>
  </si>
  <si>
    <t>Toutes  les Ventes du mois SANS V.I.</t>
  </si>
  <si>
    <t>à récup.</t>
  </si>
  <si>
    <t>F b812</t>
  </si>
  <si>
    <t>journal des ACHATS  du mois</t>
  </si>
  <si>
    <t>cellule Y</t>
  </si>
  <si>
    <t>cellule W</t>
  </si>
  <si>
    <t>cellule P</t>
  </si>
  <si>
    <t>JOURNAL DES ACHATS</t>
  </si>
  <si>
    <t>4111 -T.V.A. à payer: sur opérations intracommunautaires</t>
  </si>
  <si>
    <t>451020 - TVA DUE  intracommunautaire</t>
  </si>
  <si>
    <t>451030 - TVA DUE entretien  immobilier</t>
  </si>
  <si>
    <t>4513 -T.V.A. à payer: sur opérations cocontractant</t>
  </si>
  <si>
    <t>486 - Emballages</t>
  </si>
  <si>
    <t>4512 - TVA due sur note de crédit</t>
  </si>
  <si>
    <t>Prendre uniquement la 1er rangée (mais  voir ou s'arrete la rangée la plus longue)</t>
  </si>
  <si>
    <t>prendre uniquement la 1er rangée de toutes les collones utilisées</t>
  </si>
  <si>
    <t>3- Sélectionnez la zone Bal des comptes!B7:B21, données, validation, liste , la formule est :</t>
  </si>
  <si>
    <t>Plage est BQCLIENTS de Z13 à AE25</t>
  </si>
  <si>
    <t>Plage est CLIENTS de B13 à AE25</t>
  </si>
  <si>
    <t>&lt;&lt;&lt; indice 20</t>
  </si>
  <si>
    <t>&lt;&lt;&lt; indice 6</t>
  </si>
  <si>
    <t>"=SI(ET('Val-Dép'!E36&gt;=4000;'Val-Dép'!E36&lt;=5000 );'Val-Dép'!O36;"0")</t>
  </si>
  <si>
    <t>permet de choisir les valeurs du PCMN car le compte résultat n'admet que  6*** et 7***</t>
  </si>
  <si>
    <t>60400 - achat marchandises</t>
  </si>
  <si>
    <t>61100 - Entretien -réparation</t>
  </si>
  <si>
    <t>61220 - Livres</t>
  </si>
  <si>
    <t>61400 - publicité</t>
  </si>
  <si>
    <t>61220 - Intracomm. Livres</t>
  </si>
  <si>
    <t>61100 - cocontractant</t>
  </si>
  <si>
    <t>70000 - ventes de marchandises</t>
  </si>
  <si>
    <t>70010 - Vente intracommunautaire</t>
  </si>
  <si>
    <t>70020 - vente à l'exportation</t>
  </si>
  <si>
    <t>70500 - prestation de service BE</t>
  </si>
  <si>
    <t>70510 - Prestations services intracomm.</t>
  </si>
  <si>
    <t>70520 - Prestations services exportation</t>
  </si>
  <si>
    <t>10000  : COMPTES DE CAPITAUX</t>
  </si>
  <si>
    <t>20000  : COMPTES D’IMMOBILISATIONS</t>
  </si>
  <si>
    <t>30000 : COMPTES DE STOCKS ET EN-COURS</t>
  </si>
  <si>
    <t>40000 : COMPTES DE TIERS</t>
  </si>
  <si>
    <t>50000 : COMPTES FINANCIERS</t>
  </si>
  <si>
    <t>60000 : COMPTES DE CHARGES</t>
  </si>
  <si>
    <t>70000 : COMPTES DE PRODUITS</t>
  </si>
  <si>
    <t>7****</t>
  </si>
  <si>
    <t>6****</t>
  </si>
  <si>
    <t>Tjrs mettre dans l'ordre Num Four</t>
  </si>
  <si>
    <t>Tjrs mettre dans l'ordre Nul Cli</t>
  </si>
  <si>
    <t>Car, si ERREUR pas de bonne solution</t>
  </si>
  <si>
    <t>"=SI(A4=B4;C4;0)</t>
  </si>
  <si>
    <t>"=SI(ESTNOM(C23=G23;OK;ERREUR))</t>
  </si>
  <si>
    <t>Restant</t>
  </si>
  <si>
    <t>tva non march.</t>
  </si>
  <si>
    <t>Achats à crédit</t>
  </si>
  <si>
    <t>Remb. Via Banq</t>
  </si>
  <si>
    <t>Remb.Via Bqpost</t>
  </si>
  <si>
    <t>Remb.Via Caisse</t>
  </si>
  <si>
    <t>Etat-crédit</t>
  </si>
  <si>
    <t>173 - Etat-crédit</t>
  </si>
  <si>
    <t>R17</t>
  </si>
  <si>
    <t>Crédit-Banq</t>
  </si>
  <si>
    <t>Crédit-post</t>
  </si>
  <si>
    <t>Crédit-caisse</t>
  </si>
  <si>
    <t>**</t>
  </si>
  <si>
    <t>Matériel</t>
  </si>
  <si>
    <t>"=SI(ESTERREUR(RECHERCHEV(E2;B2:C50;2;0));"";RECHERCHEV(E2;B2:C50;2;0))</t>
  </si>
  <si>
    <t>Crédit</t>
  </si>
  <si>
    <t>Voir balance des comptes</t>
  </si>
  <si>
    <t>Bal-comptes</t>
  </si>
  <si>
    <t>DEDUCTIBLE</t>
  </si>
  <si>
    <t>BANQUE à RECU  du Client pour le mois de :</t>
  </si>
  <si>
    <t>BANQUE à payé au Fournisseur pour le mois de :</t>
  </si>
  <si>
    <t>Mont. Crédt.</t>
  </si>
  <si>
    <t>Mont. Débt.</t>
  </si>
  <si>
    <t>Mont. Crédt</t>
  </si>
  <si>
    <t>Client :</t>
  </si>
  <si>
    <t>Fourn. :</t>
  </si>
  <si>
    <t>Mont.Débt.</t>
  </si>
  <si>
    <t>Si rien à</t>
  </si>
  <si>
    <t>montant crédt.</t>
  </si>
  <si>
    <t>montant débt.</t>
  </si>
  <si>
    <t>Au client :</t>
  </si>
  <si>
    <t>Au fourn. :</t>
  </si>
  <si>
    <t>La banque à reçu du CLIENT pour le mois de :</t>
  </si>
  <si>
    <t>l a Banque à payé le fournisseur pour le mois de :</t>
  </si>
  <si>
    <t>Voir Val-Dép</t>
  </si>
  <si>
    <t>journal des</t>
  </si>
  <si>
    <t>X31</t>
  </si>
  <si>
    <t xml:space="preserve">Journal des </t>
  </si>
  <si>
    <t>Payé au Fournisseur</t>
  </si>
  <si>
    <t>pour le mois de :</t>
  </si>
  <si>
    <t>Reçu du client</t>
  </si>
  <si>
    <t xml:space="preserve"> </t>
  </si>
  <si>
    <t xml:space="preserve">à payer </t>
  </si>
  <si>
    <t>Total TVA</t>
  </si>
  <si>
    <t>différence entre BANQUE  Clients - Fournisseurs</t>
  </si>
  <si>
    <t xml:space="preserve">Banque paie les fournisseurs. du mois : </t>
  </si>
  <si>
    <t>Banque reçoit  des clients du mois :</t>
  </si>
  <si>
    <t>Fournisseur1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</si>
  <si>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</si>
  <si>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</si>
  <si>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</si>
  <si>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</si>
  <si>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</si>
  <si>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</si>
  <si>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 11</t>
  </si>
  <si>
    <t>Client 11</t>
  </si>
  <si>
    <t>Client 10</t>
  </si>
  <si>
    <t>Client 9</t>
  </si>
  <si>
    <t>Client 8</t>
  </si>
  <si>
    <t>Client 7</t>
  </si>
  <si>
    <t>Client 6</t>
  </si>
  <si>
    <t>Client 5</t>
  </si>
  <si>
    <t>Client 4</t>
  </si>
  <si>
    <t>Client 3</t>
  </si>
  <si>
    <t>Client 2</t>
  </si>
  <si>
    <t>Client 1</t>
  </si>
  <si>
    <t>Voir Gr Liv ACT-PAS  L219</t>
  </si>
  <si>
    <r>
      <t xml:space="preserve">TOTAL  Banque fournisseurs Gr Liv ACT-PAS  </t>
    </r>
    <r>
      <rPr>
        <b/>
        <sz val="12"/>
        <color theme="1"/>
        <rFont val="Times New Roman"/>
        <family val="1"/>
        <scheme val="minor"/>
      </rPr>
      <t>P135</t>
    </r>
  </si>
  <si>
    <r>
      <t xml:space="preserve">TOTAL Banque clients Gr Liv ACT-PAS </t>
    </r>
    <r>
      <rPr>
        <b/>
        <sz val="12"/>
        <color theme="1"/>
        <rFont val="Times New Roman"/>
        <family val="1"/>
        <scheme val="minor"/>
      </rPr>
      <t xml:space="preserve"> C135</t>
    </r>
  </si>
  <si>
    <t>TOTAL SD</t>
  </si>
  <si>
    <t>le compte achats (600) et ventes (700)</t>
  </si>
  <si>
    <t>Compte résultat</t>
  </si>
  <si>
    <t>Client - fourn.</t>
  </si>
  <si>
    <t>DIFFERENCE CLIENT - FOURNISSEUR</t>
  </si>
  <si>
    <t>23000 - I.M.O.</t>
  </si>
  <si>
    <t>23100 - Machines</t>
  </si>
  <si>
    <t>23700 - Outillages</t>
  </si>
  <si>
    <t xml:space="preserve">24000 - Mobilier </t>
  </si>
  <si>
    <t>24100 - Matériel roulant</t>
  </si>
  <si>
    <t>17000 - emprunt</t>
  </si>
  <si>
    <t>10000 - CAPITAL souscrit</t>
  </si>
  <si>
    <t>17300 - Etat-crédit</t>
  </si>
  <si>
    <t>36000 - Stock</t>
  </si>
  <si>
    <t>tva clients ou tva dûe</t>
  </si>
  <si>
    <t>Transfert-BQ</t>
  </si>
  <si>
    <t>Transfert-POST</t>
  </si>
  <si>
    <t>Transfert-CAISSE</t>
  </si>
  <si>
    <t>Remb. BQ-&gt;crédit</t>
  </si>
  <si>
    <t>POST -&gt;BQ</t>
  </si>
  <si>
    <t>POST -&gt; caisse</t>
  </si>
  <si>
    <t>POST -&gt; crédit</t>
  </si>
  <si>
    <t>Remb. POST-&gt;crédit</t>
  </si>
  <si>
    <t>CAISSE -&gt; Crédit</t>
  </si>
  <si>
    <t>CAISSE -&gt; BQ</t>
  </si>
  <si>
    <t>CAISSE -&gt; post</t>
  </si>
  <si>
    <t>Remb. Caisse-&gt;crédit</t>
  </si>
  <si>
    <t>BANQ-&gt; Crédit</t>
  </si>
  <si>
    <t>BANQ-&gt;post</t>
  </si>
  <si>
    <t>BANQ-&gt;caisse</t>
  </si>
  <si>
    <t>CREDIT-Banq</t>
  </si>
  <si>
    <t>CREDIT-Post</t>
  </si>
  <si>
    <t>CREDIT-Caisse</t>
  </si>
  <si>
    <t>Transfert-CREDIT</t>
  </si>
  <si>
    <t xml:space="preserve">Pour définir </t>
  </si>
  <si>
    <t>détermine</t>
  </si>
  <si>
    <t xml:space="preserve">Détermine </t>
  </si>
  <si>
    <t>Les achats ( 6*****)</t>
  </si>
  <si>
    <t>le type d'achats</t>
  </si>
  <si>
    <t>détermine  le type d'achat (Gr Liv ACT-PAS) et le mode de payement</t>
  </si>
  <si>
    <t>doit être enregistré dans COMPTE TRANSFERT</t>
  </si>
  <si>
    <t>paye via compte BQPOST</t>
  </si>
  <si>
    <t>Voir transfert   Banq vers caisse</t>
  </si>
  <si>
    <t xml:space="preserve">              Compte transfert :    Rembourse le crédit via la Banque</t>
  </si>
  <si>
    <t>Paie Fournisseur par BQPOST</t>
  </si>
  <si>
    <t>ACHAT  et PAYEMENT ( 2 actions en même temps)</t>
  </si>
  <si>
    <t>Achat de matériel roulant</t>
  </si>
  <si>
    <t>paie le matériel roulant du 19/01 par BQPOST</t>
  </si>
  <si>
    <t>Par post</t>
  </si>
  <si>
    <t>Etat-crédit  (C+)</t>
  </si>
  <si>
    <t>fact. Reçues</t>
  </si>
  <si>
    <t>fact. Payées</t>
  </si>
  <si>
    <t>au fourn.</t>
  </si>
  <si>
    <t>du fourn.</t>
  </si>
  <si>
    <t>Fact. Envoyées</t>
  </si>
  <si>
    <t>au client</t>
  </si>
  <si>
    <t>Achat à crédit doit être enregistré dans CREDIT (C+)    et dans BANQUE (D+)</t>
  </si>
  <si>
    <t>Etat-crédit (D-)</t>
  </si>
  <si>
    <t>Etat-crédir  (C+)</t>
  </si>
  <si>
    <t>matériel roulant</t>
  </si>
  <si>
    <t>Mode de Payement</t>
  </si>
  <si>
    <t>Note</t>
  </si>
  <si>
    <t>de crédit</t>
  </si>
  <si>
    <t>Appelation-2</t>
  </si>
  <si>
    <t>*</t>
  </si>
  <si>
    <t>4514 - TVA DUE pr NC sur achats</t>
  </si>
  <si>
    <t>4114 - TVA à Récup pr NC sur Ventes</t>
  </si>
  <si>
    <t>(61)NC sur achats</t>
  </si>
  <si>
    <t>sur achats</t>
  </si>
  <si>
    <t>NC/achats</t>
  </si>
  <si>
    <t>TVAC (NC)</t>
  </si>
  <si>
    <t>TVA due (NC)</t>
  </si>
  <si>
    <t>NC sur achats</t>
  </si>
  <si>
    <t xml:space="preserve">car la </t>
  </si>
  <si>
    <t>REPREND tous les comptes 60*** et 61***</t>
  </si>
  <si>
    <t>cocontractant ( prest. Service)</t>
  </si>
  <si>
    <t>Prest. Service</t>
  </si>
  <si>
    <t>prest.service</t>
  </si>
  <si>
    <t>Je paie FOURN.</t>
  </si>
  <si>
    <t>Je reçois du CLIENT</t>
  </si>
  <si>
    <t>de régul. Sur NC</t>
  </si>
  <si>
    <t>régularisation</t>
  </si>
  <si>
    <t>sur NC (fourn.)</t>
  </si>
  <si>
    <t>Compte fournisseur</t>
  </si>
  <si>
    <t>CompteCLIENT</t>
  </si>
  <si>
    <t>TVAdue</t>
  </si>
  <si>
    <t>TVArécup.</t>
  </si>
  <si>
    <t>sur NC (client)</t>
  </si>
  <si>
    <t>TVA DUE (à verser)</t>
  </si>
  <si>
    <t>code 560</t>
  </si>
  <si>
    <t>code 550</t>
  </si>
  <si>
    <t>IL FAUT FAIRE ACTIVER ( Banque - Bq post - Caisse ) Dans Val-Dép case H</t>
  </si>
  <si>
    <t>mets la formule suivante dans la case ou tu veux avoir ton resultat</t>
  </si>
  <si>
    <t>En littéraire ca donne</t>
  </si>
  <si>
    <t>SI A1= A</t>
  </si>
  <si>
    <t>--Si oui J'affiche la valeur 1</t>
  </si>
  <si>
    <t>--Sinon je vérifie SI A1=B</t>
  </si>
  <si>
    <t>----Si Oui j'affiche la valeur 2</t>
  </si>
  <si>
    <t>----Sinon je vérifie SI A1=C</t>
  </si>
  <si>
    <t>------Si oui j'affiche la valeur 3</t>
  </si>
  <si>
    <t>------Sinon j'affiche la valeur 0</t>
  </si>
  <si>
    <t>Bien sur dans l'exemple je n'ai pris que 3 niveaux mais il te suffit juste de rajouter ceux necessaires</t>
  </si>
  <si>
    <t>C'est assez lourd mais ca marche bien</t>
  </si>
  <si>
    <t>utilisé pour repérer le type de banque dans Val-Dép CASE AE</t>
  </si>
  <si>
    <t>70050 - Ventes co-contractant</t>
  </si>
  <si>
    <t>70060 - Ventes intracommunautaires</t>
  </si>
  <si>
    <t>70500 - Prestations de services en Belgique</t>
  </si>
  <si>
    <t>7051 - Prestations de services dans les pays membres de la C.E .E.</t>
  </si>
  <si>
    <t>Marchand-amball</t>
  </si>
  <si>
    <t>TVA à récup (achats)</t>
  </si>
  <si>
    <t>TVA à récup</t>
  </si>
  <si>
    <t>marchandise</t>
  </si>
  <si>
    <t xml:space="preserve">égale à la </t>
  </si>
  <si>
    <t>Il faut avoir  Bq ACTIF</t>
  </si>
  <si>
    <t>!!!!!!!</t>
  </si>
  <si>
    <t>!!!!!!</t>
  </si>
  <si>
    <t>est util</t>
  </si>
  <si>
    <t>Le</t>
  </si>
  <si>
    <t>retour au fourn.</t>
  </si>
  <si>
    <t xml:space="preserve">  tva due</t>
  </si>
  <si>
    <t xml:space="preserve">déduire </t>
  </si>
  <si>
    <t>TVA =  %</t>
  </si>
  <si>
    <t>Les ventes ( 7****)</t>
  </si>
  <si>
    <t>total TVAC</t>
  </si>
  <si>
    <t>retour au client</t>
  </si>
  <si>
    <t>TVA due NC / clients</t>
  </si>
  <si>
    <t>TVA-625</t>
  </si>
  <si>
    <t>investissement</t>
  </si>
  <si>
    <t>***</t>
  </si>
  <si>
    <t>export.</t>
  </si>
  <si>
    <t>VERIFIER LES VALEURS INITIALES AVANT DE CONTINUER</t>
  </si>
  <si>
    <t>VAL-INIT   V.I. =========&gt;</t>
  </si>
  <si>
    <t>(59) 4110</t>
  </si>
  <si>
    <t>TVA  dûe</t>
  </si>
  <si>
    <t>NUL</t>
  </si>
  <si>
    <t>2ème VERIFICATION : V.I. Clients doit être VERT</t>
  </si>
  <si>
    <t>V.I. ACTIF   =   V.I. PASSIF</t>
  </si>
  <si>
    <t xml:space="preserve">3 ème VERIFICATION </t>
  </si>
  <si>
    <t>SD BANQUE  doit être égale au dernier extrait Banque</t>
  </si>
  <si>
    <t xml:space="preserve">4 ème VERIFICATION </t>
  </si>
  <si>
    <t>Solde ACTIF = Solde DE PASSIF</t>
  </si>
  <si>
    <t>5ème vérification : Balance Clients = au compte (400  Clients)</t>
  </si>
  <si>
    <t>Voir dans Gr Liv ACT-PAS (440 fourn.)</t>
  </si>
  <si>
    <t>Voir dans Gr Liv ACT-PAS (400 Clients)</t>
  </si>
  <si>
    <t>5ème vérification :Balance Fournisseur = au compte (440 Fournisseur)</t>
  </si>
  <si>
    <t>CLIENTS    6****</t>
  </si>
  <si>
    <t>Fournisseurs  6****</t>
  </si>
  <si>
    <t>Total banque du mois de :</t>
  </si>
  <si>
    <r>
      <t>TOTAL TVAC du</t>
    </r>
    <r>
      <rPr>
        <b/>
        <sz val="12"/>
        <color theme="1"/>
        <rFont val="Times New Roman"/>
        <family val="1"/>
        <scheme val="minor"/>
      </rPr>
      <t xml:space="preserve"> Journal des achats-ventes</t>
    </r>
    <r>
      <rPr>
        <sz val="11"/>
        <color theme="1"/>
        <rFont val="Times New Roman"/>
        <family val="2"/>
        <scheme val="minor"/>
      </rPr>
      <t xml:space="preserve">  du mois de :</t>
    </r>
  </si>
  <si>
    <r>
      <t>TOTAL HTVA du</t>
    </r>
    <r>
      <rPr>
        <b/>
        <sz val="12"/>
        <color theme="1"/>
        <rFont val="Times New Roman"/>
        <family val="1"/>
        <scheme val="minor"/>
      </rPr>
      <t xml:space="preserve"> Journal des achats-ventes</t>
    </r>
    <r>
      <rPr>
        <sz val="11"/>
        <color theme="1"/>
        <rFont val="Times New Roman"/>
        <family val="2"/>
        <scheme val="minor"/>
      </rPr>
      <t xml:space="preserve"> du mois de :</t>
    </r>
  </si>
  <si>
    <r>
      <t>TOTAL TVA du</t>
    </r>
    <r>
      <rPr>
        <b/>
        <sz val="12"/>
        <color theme="1"/>
        <rFont val="Times New Roman"/>
        <family val="1"/>
        <scheme val="minor"/>
      </rPr>
      <t xml:space="preserve"> Journal des achats-ventes </t>
    </r>
    <r>
      <rPr>
        <sz val="11"/>
        <color theme="1"/>
        <rFont val="Times New Roman"/>
        <family val="2"/>
        <scheme val="minor"/>
      </rPr>
      <t>du mois de :</t>
    </r>
  </si>
  <si>
    <t>Banque (550)</t>
  </si>
  <si>
    <t>Bq post (560)</t>
  </si>
  <si>
    <t>Caisse (570)</t>
  </si>
  <si>
    <t>Utile dans</t>
  </si>
  <si>
    <t>Gr liv ACT-PAS</t>
  </si>
  <si>
    <t>Avec TVA</t>
  </si>
  <si>
    <t>Sans TVA</t>
  </si>
  <si>
    <t>Quelle Banque ?</t>
  </si>
  <si>
    <t>TVA à Récup.</t>
  </si>
  <si>
    <t>Base impot.</t>
  </si>
  <si>
    <t>Journal.  ACHATS-VENTES</t>
  </si>
  <si>
    <t>dans G35 à G45</t>
  </si>
  <si>
    <t>choix à faire</t>
  </si>
  <si>
    <t>JOURNAL - FINAN - BANQ</t>
  </si>
  <si>
    <t>Payement aux FOURNISSEURS  via ( Banque - Bq post - Caisse ) pour le MOIS de :</t>
  </si>
  <si>
    <t>Mars</t>
  </si>
  <si>
    <t>CLIENT  D+</t>
  </si>
  <si>
    <t>CLIENT  C-</t>
  </si>
  <si>
    <t>Fourn. C-</t>
  </si>
  <si>
    <t>Fourn. D-</t>
  </si>
  <si>
    <t>différence</t>
  </si>
  <si>
    <t>Est utilisé dans compte résultat</t>
  </si>
  <si>
    <t xml:space="preserve"> PCMN</t>
  </si>
  <si>
    <t>Effacer seulement ICI</t>
  </si>
  <si>
    <t xml:space="preserve">Permet de </t>
  </si>
  <si>
    <t>choisir</t>
  </si>
  <si>
    <t>Permet de choisir</t>
  </si>
  <si>
    <t>le type de fichier dans</t>
  </si>
  <si>
    <t>Choix de la</t>
  </si>
  <si>
    <t>avec/sans TVA</t>
  </si>
  <si>
    <t xml:space="preserve">Dans Journal-centralisateur  </t>
  </si>
  <si>
    <t>Fourn.</t>
  </si>
  <si>
    <t xml:space="preserve"> FAIRE LE BON CHOIX  est de toute importance</t>
  </si>
  <si>
    <t>la formule doit être sous forme de matrice c-à-d avoir   {  } en début et fin de la formule</t>
  </si>
  <si>
    <t>17001 - emprunt</t>
  </si>
  <si>
    <t>17002 - emprunt</t>
  </si>
  <si>
    <t>17003 - emprunt</t>
  </si>
  <si>
    <t>17004 - emprunt</t>
  </si>
  <si>
    <t>17005 - emprunt</t>
  </si>
  <si>
    <t>17006 - emprunt</t>
  </si>
  <si>
    <t>17007 - emprunt</t>
  </si>
  <si>
    <t>OK Bénéfice reporté</t>
  </si>
  <si>
    <t>17008 - emprunt</t>
  </si>
  <si>
    <t>17009 - emprunt</t>
  </si>
  <si>
    <t>17010 - emprunt</t>
  </si>
  <si>
    <t>17011 - emprunt</t>
  </si>
  <si>
    <t>17012 - emprunt</t>
  </si>
  <si>
    <t>Attention pour déterminer le code client (  par exem : C0001)</t>
  </si>
  <si>
    <t>Pour vérifier si {  } sont présentes, CLIQUER sur la case, MAIS cliquer sur une autre case pour sortir</t>
  </si>
  <si>
    <t>Si PCMN correcte = BILAN Tjrs OK</t>
  </si>
  <si>
    <t>Les ventes aux clients du MOIS  de :</t>
  </si>
  <si>
    <t>Les achats aux fournisseurs du MOIS  de :</t>
  </si>
  <si>
    <t>Journal Centralisateur du mois de :</t>
  </si>
  <si>
    <t>Valeur de : Gr Liv ACT-PAS</t>
  </si>
  <si>
    <t>60***</t>
  </si>
  <si>
    <t>70***    VENTES</t>
  </si>
  <si>
    <t xml:space="preserve">Différence entre ce que la banque à reçu des CLIENTS et  ce que la banque à payés aux FOURNISSEURS pour le mois </t>
  </si>
  <si>
    <t>PCMN Obligatoire</t>
  </si>
  <si>
    <t>PMCN est obligatoire</t>
  </si>
  <si>
    <t>F0001</t>
  </si>
  <si>
    <t>F0003</t>
  </si>
  <si>
    <t>F0004</t>
  </si>
  <si>
    <t>différence ventes -achats   AVANT IMPÔTS</t>
  </si>
  <si>
    <t>Sans VALEUR  INITIALE</t>
  </si>
  <si>
    <r>
      <rPr>
        <sz val="11"/>
        <color rgb="FFFF0000"/>
        <rFont val="Times New Roman"/>
        <family val="1"/>
        <scheme val="minor"/>
      </rPr>
      <t>Dans le fichier :</t>
    </r>
    <r>
      <rPr>
        <sz val="11"/>
        <color theme="1"/>
        <rFont val="Times New Roman"/>
        <family val="2"/>
        <scheme val="minor"/>
      </rPr>
      <t xml:space="preserve"> Journ-Finan-Banq</t>
    </r>
  </si>
  <si>
    <r>
      <rPr>
        <sz val="11"/>
        <color rgb="FFFF0000"/>
        <rFont val="Times New Roman"/>
        <family val="1"/>
        <scheme val="minor"/>
      </rPr>
      <t>Dans le fichier :</t>
    </r>
    <r>
      <rPr>
        <sz val="11"/>
        <color theme="1"/>
        <rFont val="Times New Roman"/>
        <family val="1"/>
        <scheme val="minor"/>
      </rPr>
      <t xml:space="preserve">  Journal.  Achats-ventes</t>
    </r>
  </si>
  <si>
    <r>
      <t xml:space="preserve"> </t>
    </r>
    <r>
      <rPr>
        <b/>
        <sz val="11"/>
        <color theme="1"/>
        <rFont val="Times New Roman"/>
        <family val="2"/>
        <scheme val="minor"/>
      </rPr>
      <t>FACTURES -aux -CLIENTS</t>
    </r>
  </si>
  <si>
    <t>Mobilier et mat. Roulant</t>
  </si>
  <si>
    <t>STOCK et commande en cours</t>
  </si>
  <si>
    <t>Stocks marchandises</t>
  </si>
  <si>
    <t>5122 - Emprunts déposer sur Banque</t>
  </si>
  <si>
    <t>Transfert Emprunt sur Banque</t>
  </si>
  <si>
    <t>Dépôt en banque</t>
  </si>
  <si>
    <t>Immeubles</t>
  </si>
  <si>
    <t>Capitaux étrangés (c'est à des autres personne) Bq ou autres</t>
  </si>
  <si>
    <t>Capital propre (c'est à moi, pris sur compte personel) pour l'entreprise</t>
  </si>
  <si>
    <t>ACTIF  (Emplois)</t>
  </si>
  <si>
    <t>PASSIF (Ressources)</t>
  </si>
  <si>
    <t>CAPITAUX ETRANGES (des dettes  de banque)</t>
  </si>
  <si>
    <t>terrain et constructions</t>
  </si>
  <si>
    <t>Immobilisations corporel (A+B+C)</t>
  </si>
  <si>
    <t>Immob.Mat.Outil.</t>
  </si>
  <si>
    <t>17100-Emprunt ≤ d'1 an</t>
  </si>
  <si>
    <t>17100-Emprunt ≥ d'1 an</t>
  </si>
  <si>
    <t>2131 - Immeubles</t>
  </si>
  <si>
    <r>
      <t>Pour avoir le signe {  } en début et fin , ce placer à la fin et appuyer sur les touches  CRTL</t>
    </r>
    <r>
      <rPr>
        <sz val="14"/>
        <color theme="1"/>
        <rFont val="Times New Roman"/>
        <family val="1"/>
        <scheme val="minor"/>
      </rPr>
      <t xml:space="preserve"> shift enter </t>
    </r>
    <r>
      <rPr>
        <sz val="12"/>
        <color theme="1"/>
        <rFont val="Times New Roman"/>
        <family val="1"/>
        <scheme val="minor"/>
      </rPr>
      <t>( Pour quitter cliquer sur ENTER)</t>
    </r>
  </si>
  <si>
    <t xml:space="preserve">Dettes financières    </t>
  </si>
  <si>
    <r>
      <t xml:space="preserve">Etablissements de crédit </t>
    </r>
    <r>
      <rPr>
        <b/>
        <sz val="11"/>
        <color theme="1"/>
        <rFont val="Times New Roman"/>
        <family val="1"/>
        <scheme val="minor"/>
      </rPr>
      <t xml:space="preserve"> (Banque)</t>
    </r>
  </si>
  <si>
    <t xml:space="preserve"> autres emprunts</t>
  </si>
  <si>
    <t>dettes commerciales</t>
  </si>
  <si>
    <t>établissement de crédit    (Banque)</t>
  </si>
  <si>
    <t>DETTES ≥ d'1 an</t>
  </si>
  <si>
    <t>C0006</t>
  </si>
  <si>
    <t>C0007</t>
  </si>
  <si>
    <t>C0008</t>
  </si>
  <si>
    <t>C0009</t>
  </si>
  <si>
    <t>C00010</t>
  </si>
  <si>
    <t>C00011</t>
  </si>
  <si>
    <t>C00012</t>
  </si>
  <si>
    <t>sont comptabilisés à part dans compte résultat</t>
  </si>
  <si>
    <t xml:space="preserve">A </t>
  </si>
  <si>
    <t>DETTES  ≤ d'1 an</t>
  </si>
  <si>
    <t>matériel de bureau</t>
  </si>
  <si>
    <t>22-27</t>
  </si>
  <si>
    <t>54-58</t>
  </si>
  <si>
    <t>40-41</t>
  </si>
  <si>
    <t>30-37</t>
  </si>
  <si>
    <t>42-48</t>
  </si>
  <si>
    <t>Dettes à plus d'1 an, mais échéance dans l'année</t>
  </si>
  <si>
    <t>430-433</t>
  </si>
  <si>
    <t>Total Crédit   -</t>
  </si>
  <si>
    <t>Total Débit   +</t>
  </si>
  <si>
    <t>Total Crédit   +</t>
  </si>
  <si>
    <t>Total Débit   -</t>
  </si>
  <si>
    <t>+ A</t>
  </si>
  <si>
    <t>- A</t>
  </si>
  <si>
    <t>+ P</t>
  </si>
  <si>
    <t>- P</t>
  </si>
  <si>
    <t xml:space="preserve">    Si ACTIF           PASSIF</t>
  </si>
  <si>
    <t>Quand une opération à lieu 2 cases doivent être remplies</t>
  </si>
  <si>
    <t xml:space="preserve">    Si ACTIF           ACTIF</t>
  </si>
  <si>
    <t xml:space="preserve">    Si PASSIF           PASSIF</t>
  </si>
  <si>
    <t xml:space="preserve">    Si PASSIF           ACTIF</t>
  </si>
  <si>
    <t xml:space="preserve">Dettes à moins d'1 an </t>
  </si>
  <si>
    <r>
      <t xml:space="preserve">CLIENTS </t>
    </r>
    <r>
      <rPr>
        <u val="double"/>
        <sz val="11"/>
        <color rgb="FFFF0000"/>
        <rFont val="Times New Roman"/>
        <family val="1"/>
        <scheme val="minor"/>
      </rPr>
      <t>(Factures non reçues)</t>
    </r>
  </si>
  <si>
    <r>
      <t xml:space="preserve">FOURNISSEUS </t>
    </r>
    <r>
      <rPr>
        <u val="double"/>
        <sz val="11"/>
        <color rgb="FFFF0000"/>
        <rFont val="Times New Roman"/>
        <family val="1"/>
        <scheme val="minor"/>
      </rPr>
      <t>(Factures non payées)</t>
    </r>
  </si>
  <si>
    <t>Fact. Reçues</t>
  </si>
  <si>
    <t>du  client</t>
  </si>
  <si>
    <t>Factures CLIENTS vers la Banque</t>
  </si>
  <si>
    <t>Factures CLIENTS vers la Bq Poste</t>
  </si>
  <si>
    <t>Factures CLIENTS vers la Caisse</t>
  </si>
  <si>
    <r>
      <t xml:space="preserve">Créances commerciales  </t>
    </r>
    <r>
      <rPr>
        <b/>
        <sz val="11"/>
        <color theme="1"/>
        <rFont val="Times New Roman"/>
        <family val="1"/>
        <scheme val="minor"/>
      </rPr>
      <t>(clients ≥ d'1 an)</t>
    </r>
  </si>
  <si>
    <t>C00013</t>
  </si>
  <si>
    <t>C00022</t>
  </si>
  <si>
    <t>C00033</t>
  </si>
  <si>
    <t>C00044</t>
  </si>
  <si>
    <t>C00055</t>
  </si>
  <si>
    <t>Fact CLIENTS 290 vers la Banque</t>
  </si>
  <si>
    <t>Fact CLIENTS 290 vers la Bq Poste</t>
  </si>
  <si>
    <t>Fact CLIENTS 290 vers la Caisse</t>
  </si>
  <si>
    <t>Mois de :</t>
  </si>
  <si>
    <t>écrire les fact reçues du client</t>
  </si>
  <si>
    <t>20-28</t>
  </si>
  <si>
    <t>II</t>
  </si>
  <si>
    <t xml:space="preserve">Location-Financement &amp; droits similaires  </t>
  </si>
  <si>
    <t>Immobilisations en cours &amp; accomptes versées</t>
  </si>
  <si>
    <t>Autres immobilisations corporelles versées</t>
  </si>
  <si>
    <t>IV</t>
  </si>
  <si>
    <r>
      <t xml:space="preserve">Immobilisations financières   </t>
    </r>
    <r>
      <rPr>
        <b/>
        <sz val="10"/>
        <color theme="1"/>
        <rFont val="Times New Roman"/>
        <family val="1"/>
        <scheme val="minor"/>
      </rPr>
      <t>(Ann. 4&amp;5)</t>
    </r>
  </si>
  <si>
    <t>créances</t>
  </si>
  <si>
    <t>Autres entreprises ou il existe 1 lien de participation</t>
  </si>
  <si>
    <t>285-288</t>
  </si>
  <si>
    <t>Créances &amp; coutionnements en numéraire</t>
  </si>
  <si>
    <t xml:space="preserve"> en cours de fabrication</t>
  </si>
  <si>
    <t>produits finis</t>
  </si>
  <si>
    <t>immeubles destinés à la vente</t>
  </si>
  <si>
    <t>accomptes versées</t>
  </si>
  <si>
    <t>commandes en cour d'exécution</t>
  </si>
  <si>
    <t>autres créances</t>
  </si>
  <si>
    <t>50-53</t>
  </si>
  <si>
    <t>placements de trésories</t>
  </si>
  <si>
    <t>Actions propres</t>
  </si>
  <si>
    <t>51-53</t>
  </si>
  <si>
    <t>autres placements</t>
  </si>
  <si>
    <t>X</t>
  </si>
  <si>
    <t>490-491</t>
  </si>
  <si>
    <t>comptes de régularisations</t>
  </si>
  <si>
    <t>Frais d'établisement   (ann.1)</t>
  </si>
  <si>
    <t>Immobilisations incorporelles   (Ann. 2)</t>
  </si>
  <si>
    <r>
      <t xml:space="preserve">Imobilisations corporelles    (Ann. 3)  </t>
    </r>
    <r>
      <rPr>
        <b/>
        <i/>
        <sz val="12"/>
        <color theme="1"/>
        <rFont val="Times New Roman"/>
        <family val="1"/>
        <scheme val="minor"/>
      </rPr>
      <t>(A+B+C)</t>
    </r>
  </si>
  <si>
    <t>ACTIFS IMMOBILISES (I+II+III+IV)</t>
  </si>
  <si>
    <t>créances commerciales  (clients ≤ d'1 an )</t>
  </si>
  <si>
    <t>ACTIFS CIRCULANTS (V+VI+VII+VIII+IX+X)</t>
  </si>
  <si>
    <t xml:space="preserve">CAPITAUX PROPRES  </t>
  </si>
  <si>
    <t>Prime d'émission</t>
  </si>
  <si>
    <t>Plus-value de réévaluation</t>
  </si>
  <si>
    <t>Réserves</t>
  </si>
  <si>
    <t>Réserves légals</t>
  </si>
  <si>
    <t>Subsides en capital</t>
  </si>
  <si>
    <t>effet à payer</t>
  </si>
  <si>
    <t>178-179</t>
  </si>
  <si>
    <t>Acompte reçus sur commandes</t>
  </si>
  <si>
    <t>450-453</t>
  </si>
  <si>
    <t>Comptes de régularisation</t>
  </si>
  <si>
    <t xml:space="preserve">VII.     A.  </t>
  </si>
  <si>
    <t>ok</t>
  </si>
  <si>
    <t>montant CAISSE</t>
  </si>
  <si>
    <t>Montant autrs créances</t>
  </si>
  <si>
    <t>montant actions propres</t>
  </si>
  <si>
    <t>montant autre placement</t>
  </si>
  <si>
    <t xml:space="preserve">Frais d'établisement  </t>
  </si>
  <si>
    <t xml:space="preserve">Immobilisations incorporelles  </t>
  </si>
  <si>
    <t xml:space="preserve">Dettes fiscales </t>
  </si>
  <si>
    <t>7'</t>
  </si>
  <si>
    <t>montant BQ-POST  (OCP)</t>
  </si>
  <si>
    <t>dû au vendeur</t>
  </si>
  <si>
    <t xml:space="preserve">Bq post </t>
  </si>
  <si>
    <t>il faut ajouter client +Gd 1an</t>
  </si>
  <si>
    <t>il faut ajouter client +Pt 1an</t>
  </si>
  <si>
    <t xml:space="preserve">17100-Emprunt ( - 1 an) </t>
  </si>
  <si>
    <t>client-1an</t>
  </si>
  <si>
    <t>************</t>
  </si>
  <si>
    <t>on doit l'écrire</t>
  </si>
  <si>
    <t>400/550</t>
  </si>
  <si>
    <t>400/560</t>
  </si>
  <si>
    <t>400/570</t>
  </si>
  <si>
    <t>client+1an</t>
  </si>
  <si>
    <t>Factures reçues des clients</t>
  </si>
  <si>
    <t>Caisse client+1an</t>
  </si>
  <si>
    <t>Caisse client-1an</t>
  </si>
  <si>
    <t>Bq client+1an</t>
  </si>
  <si>
    <t>Bq client-1an</t>
  </si>
  <si>
    <t>Bq post client+1an</t>
  </si>
  <si>
    <t>Bq post client-1an</t>
  </si>
  <si>
    <t>290/550</t>
  </si>
  <si>
    <t>290/560</t>
  </si>
  <si>
    <t>290/570</t>
  </si>
  <si>
    <t>au client 290</t>
  </si>
  <si>
    <t>client 400/550</t>
  </si>
  <si>
    <t>client 400/560</t>
  </si>
  <si>
    <t>client 400/570</t>
  </si>
  <si>
    <t>O.C.P</t>
  </si>
  <si>
    <t>O.C.P.client-1an</t>
  </si>
  <si>
    <t xml:space="preserve"> reçu du CLIENT</t>
  </si>
  <si>
    <t>***********</t>
  </si>
  <si>
    <t xml:space="preserve"> vers la Banque</t>
  </si>
  <si>
    <t>Factures CLIENTS</t>
  </si>
  <si>
    <t xml:space="preserve"> vers la Bq Poste</t>
  </si>
  <si>
    <t>vers la caisse</t>
  </si>
  <si>
    <t>detes moins d'1an</t>
  </si>
  <si>
    <t>Accomptes</t>
  </si>
  <si>
    <t>par la banque</t>
  </si>
  <si>
    <t>sur la banque</t>
  </si>
  <si>
    <t>par le O.C.P.</t>
  </si>
  <si>
    <t>sur à l'O.C.P.</t>
  </si>
  <si>
    <t>par la Caisse</t>
  </si>
  <si>
    <t>sur laCaisse</t>
  </si>
  <si>
    <t>SCT</t>
  </si>
  <si>
    <t>400 - Client-1an</t>
  </si>
  <si>
    <t>290 - client+1an</t>
  </si>
  <si>
    <t>Matériel roulant 1</t>
  </si>
  <si>
    <t>Matéreil roulant 2</t>
  </si>
  <si>
    <t xml:space="preserve">Matériel roulant </t>
  </si>
  <si>
    <t>terrain et constuction</t>
  </si>
  <si>
    <t>client(+1an)</t>
  </si>
  <si>
    <t>fournisseur</t>
  </si>
  <si>
    <r>
      <t xml:space="preserve">Etablissements de crédit </t>
    </r>
    <r>
      <rPr>
        <b/>
        <sz val="11"/>
        <color theme="1"/>
        <rFont val="Times New Roman"/>
        <family val="1"/>
        <scheme val="minor"/>
      </rPr>
      <t xml:space="preserve"> </t>
    </r>
  </si>
  <si>
    <t>client(-1an)</t>
  </si>
  <si>
    <t>Client+1an</t>
  </si>
  <si>
    <t>Client-1an</t>
  </si>
  <si>
    <t>banque</t>
  </si>
  <si>
    <t>bq post</t>
  </si>
  <si>
    <t xml:space="preserve"> client(-1an)</t>
  </si>
  <si>
    <t>command en cours</t>
  </si>
  <si>
    <t>frais établissemnts</t>
  </si>
  <si>
    <t>du  client-1an</t>
  </si>
  <si>
    <t>Bq clients(+1an)</t>
  </si>
  <si>
    <t>Bq post-clients(+1an)</t>
  </si>
  <si>
    <t>total Bq(-1an)</t>
  </si>
  <si>
    <t>total Bq(+1an)</t>
  </si>
  <si>
    <t>400-550</t>
  </si>
  <si>
    <t>400-560</t>
  </si>
  <si>
    <t>400-570</t>
  </si>
  <si>
    <t>290-560</t>
  </si>
  <si>
    <t>290-550</t>
  </si>
  <si>
    <t>Bq post - clients(-1an)</t>
  </si>
  <si>
    <t>(400-550)+(290/550)</t>
  </si>
  <si>
    <t>(400-560)+(290-560)</t>
  </si>
  <si>
    <t>Caisse-clients(-1an)</t>
  </si>
  <si>
    <t>Caisse-clients'+1an)</t>
  </si>
  <si>
    <t>(400-570)+(290-570)</t>
  </si>
  <si>
    <t>Bq-post</t>
  </si>
  <si>
    <r>
      <t xml:space="preserve">Créances commerciales  </t>
    </r>
    <r>
      <rPr>
        <b/>
        <sz val="11"/>
        <color theme="1"/>
        <rFont val="Times New Roman"/>
        <family val="1"/>
        <scheme val="minor"/>
      </rPr>
      <t>(clients + d'1 an)</t>
    </r>
  </si>
  <si>
    <t xml:space="preserve">établis de crédits(-1an)    </t>
  </si>
  <si>
    <t>(+1an)</t>
  </si>
  <si>
    <t>Immeuble</t>
  </si>
  <si>
    <t>III. Plus-values de réévaluation</t>
  </si>
  <si>
    <t>IV. Réserves</t>
  </si>
  <si>
    <t>(-1an)</t>
  </si>
  <si>
    <t>Fournisseurs(-1an)</t>
  </si>
  <si>
    <t>Fournisseurs(+1an)</t>
  </si>
  <si>
    <t>du fourn.(-1an)</t>
  </si>
  <si>
    <t>Bq fournis+1an</t>
  </si>
  <si>
    <t>Bq post fournis+1an</t>
  </si>
  <si>
    <t>Bq fournis-1an</t>
  </si>
  <si>
    <t>Bq post fournis-1an</t>
  </si>
  <si>
    <t>Caisse fournis+1an</t>
  </si>
  <si>
    <t>Caisse fournis-1an</t>
  </si>
  <si>
    <t>aaaaaa</t>
  </si>
  <si>
    <t>PAIEFOURNISS.</t>
  </si>
  <si>
    <t>aaaa</t>
  </si>
  <si>
    <t>440/500</t>
  </si>
  <si>
    <t>440/560</t>
  </si>
  <si>
    <t>440/570</t>
  </si>
  <si>
    <t>1750/550</t>
  </si>
  <si>
    <t>1750/560</t>
  </si>
  <si>
    <t>1750/570</t>
  </si>
  <si>
    <t>Fournisseurs -1an</t>
  </si>
  <si>
    <t>Fournisseurs+1an</t>
  </si>
  <si>
    <t>second emprunt</t>
  </si>
  <si>
    <t>DETTES  - d'1 an</t>
  </si>
  <si>
    <t>Autres emprunts(-1an)</t>
  </si>
  <si>
    <t>Dettes financières(-1an)</t>
  </si>
  <si>
    <t>emprunts N°1</t>
  </si>
  <si>
    <t>emprunts N°2</t>
  </si>
  <si>
    <t>TOTAL ACTIF</t>
  </si>
  <si>
    <t>TOTAL CAPITAUX ETRANGES</t>
  </si>
  <si>
    <t>CAPITAUX PROPRES</t>
  </si>
  <si>
    <t>commande en cours</t>
  </si>
  <si>
    <t>Libellés</t>
  </si>
  <si>
    <t>N° article</t>
  </si>
  <si>
    <t>Comptes débités</t>
  </si>
  <si>
    <t>Intitulés</t>
  </si>
  <si>
    <t>Comptes crédités</t>
  </si>
  <si>
    <t>Total débités</t>
  </si>
  <si>
    <t>Total crédités</t>
  </si>
  <si>
    <t>client 290/550</t>
  </si>
  <si>
    <t>Bq client(+1an)</t>
  </si>
  <si>
    <t>du  client (+1an)</t>
  </si>
  <si>
    <t>au client(+1an)</t>
  </si>
  <si>
    <t>Bq Post client(+1an)</t>
  </si>
  <si>
    <t>sur Banque</t>
  </si>
  <si>
    <t>sur Bq post</t>
  </si>
  <si>
    <t>client 290/560</t>
  </si>
  <si>
    <t>Caisse client(+1an)</t>
  </si>
  <si>
    <t>client 290/570</t>
  </si>
  <si>
    <t xml:space="preserve">Caisse </t>
  </si>
  <si>
    <t>sur caisse</t>
  </si>
  <si>
    <t>xxxxxxxxxxxxx</t>
  </si>
  <si>
    <t>xxxxxxxxxxxxxxxx</t>
  </si>
  <si>
    <t>xxxxxxxxxxxxxxx</t>
  </si>
  <si>
    <t>xxxxxxxxxxxxxx</t>
  </si>
  <si>
    <t>client01</t>
  </si>
  <si>
    <t>client02</t>
  </si>
  <si>
    <t>Facture</t>
  </si>
  <si>
    <t>envoyée</t>
  </si>
  <si>
    <t>sortie Bq</t>
  </si>
  <si>
    <t>entrée Bq</t>
  </si>
  <si>
    <t>four01</t>
  </si>
  <si>
    <t>four02</t>
  </si>
  <si>
    <t>four03</t>
  </si>
  <si>
    <t xml:space="preserve">établissement de crédit(+1an)    </t>
  </si>
  <si>
    <t>xxxxxxxxxxxxxxxxx</t>
  </si>
  <si>
    <t>sortie banque</t>
  </si>
  <si>
    <t xml:space="preserve">Transfert </t>
  </si>
  <si>
    <t>BQ vers post</t>
  </si>
  <si>
    <t>BQ vers caisse</t>
  </si>
  <si>
    <t>POST vers BQ</t>
  </si>
  <si>
    <t>POST vers caisse</t>
  </si>
  <si>
    <t>CAISSE vers  BQ</t>
  </si>
  <si>
    <t>CAISSE vers post</t>
  </si>
  <si>
    <t>Remb BQ vers Crédit</t>
  </si>
  <si>
    <t>Remb POST vers crédit</t>
  </si>
  <si>
    <t>Remb CAISSE vers  Crédit</t>
  </si>
  <si>
    <t>Transf CREDIT-Banq</t>
  </si>
  <si>
    <t>Transf CREDIT-Post</t>
  </si>
  <si>
    <t>Transf CREDIT-Caisse</t>
  </si>
  <si>
    <t>TRANSFERT</t>
  </si>
  <si>
    <t>550&gt;570</t>
  </si>
  <si>
    <t>550&gt;560</t>
  </si>
  <si>
    <t>560&gt;550</t>
  </si>
  <si>
    <t>560&gt;570</t>
  </si>
  <si>
    <t>173&gt;570</t>
  </si>
  <si>
    <t>550&gt;173</t>
  </si>
  <si>
    <t>570&gt;173</t>
  </si>
  <si>
    <t>570&gt;550</t>
  </si>
  <si>
    <t>570&gt;560</t>
  </si>
  <si>
    <t>560&gt;173</t>
  </si>
  <si>
    <t>173&gt;550</t>
  </si>
  <si>
    <t>173&gt;560</t>
  </si>
  <si>
    <t xml:space="preserve">Remb </t>
  </si>
  <si>
    <t>Via Bqpost</t>
  </si>
  <si>
    <t xml:space="preserve">Dettes commerciales                       </t>
  </si>
  <si>
    <t xml:space="preserve">Dettes commerciales                 </t>
  </si>
  <si>
    <t>TRANSFERT &gt;&gt;&gt;&gt;&gt;&gt;</t>
  </si>
  <si>
    <t>=SI( 'Val-Dép'!H55="550"; 'Val-Dép'!H55="560" RECHERCHEV('Val-Dép'!H55;'Val-Dép'!H55:I55;2;FAUX);"0")</t>
  </si>
  <si>
    <t xml:space="preserve">crédit+1an    </t>
  </si>
  <si>
    <t>crédit+1an</t>
  </si>
  <si>
    <t xml:space="preserve">crédit(+1an)    </t>
  </si>
  <si>
    <t>FOURNISSEUR -1an</t>
  </si>
  <si>
    <t>client(-1an) avec la Banque</t>
  </si>
  <si>
    <t>client(-1an) avec la Bq post</t>
  </si>
  <si>
    <t>client(-1an) avec la Caisse</t>
  </si>
  <si>
    <t>Fournisseur(-1an) avec la Banque</t>
  </si>
  <si>
    <t>Fournisseu(-1an)r avec la Bq post</t>
  </si>
  <si>
    <t>Fournisseur(-1an) avec la Caisse</t>
  </si>
  <si>
    <t>On peut additionner tous les fournisseurs</t>
  </si>
  <si>
    <t>Total =&gt;&gt;&gt;</t>
  </si>
  <si>
    <t>TOTAL de la BANQUE</t>
  </si>
  <si>
    <t>TOTAL de la Bq post (OCP)</t>
  </si>
  <si>
    <t>TOTAL de la CAISSE</t>
  </si>
  <si>
    <t>Tout doit être séparé</t>
  </si>
  <si>
    <t>Journal-finan-Bq</t>
  </si>
  <si>
    <t>Journal finan-Bq</t>
  </si>
  <si>
    <t>Bq fournis.</t>
  </si>
  <si>
    <t>Bq post - Fournis.</t>
  </si>
  <si>
    <t>Tot client-1an</t>
  </si>
  <si>
    <t xml:space="preserve">  1er année  Exercice N°</t>
  </si>
  <si>
    <t>Entreprise</t>
  </si>
  <si>
    <t>5</t>
  </si>
  <si>
    <t xml:space="preserve">crédit-1an    </t>
  </si>
  <si>
    <t>Transfert entre Banque - Bq post - Caisse - Crédit(+1an) - crédit-1an</t>
  </si>
  <si>
    <t>Etablissement de crédit (+1an)</t>
  </si>
  <si>
    <t>Etablissement de crédit (-1an)</t>
  </si>
  <si>
    <t>**************</t>
  </si>
  <si>
    <t>crédit-1an</t>
  </si>
  <si>
    <t>Emprunt Bq+1an</t>
  </si>
  <si>
    <t>Emprunt Bq-1an</t>
  </si>
  <si>
    <t>emprunts+1an</t>
  </si>
  <si>
    <t>emprunts-1an</t>
  </si>
  <si>
    <t xml:space="preserve">Transferts Emprunt-1an vers : </t>
  </si>
  <si>
    <t xml:space="preserve">Transferts Emprunt+1an vers : </t>
  </si>
  <si>
    <t>Emprunt-1an OUT</t>
  </si>
  <si>
    <t>Emprunt+1an IN</t>
  </si>
  <si>
    <t>Emprunts-1an</t>
  </si>
  <si>
    <t>Emprunts+1an</t>
  </si>
  <si>
    <t>xxxxxxxxxxxxxxxxxx</t>
  </si>
  <si>
    <t>Emprunt-1anIN</t>
  </si>
  <si>
    <t>Emprunt+1an OUT</t>
  </si>
  <si>
    <t>Transfert de Emprunts-1an  -  de Emprunts+1an  vers : Banque ; Bq post ; caisse</t>
  </si>
  <si>
    <t>Fact reçue du Fourni</t>
  </si>
  <si>
    <r>
      <t xml:space="preserve">Inscrire ici les factures </t>
    </r>
    <r>
      <rPr>
        <b/>
        <u/>
        <sz val="14"/>
        <color rgb="FFFF0000"/>
        <rFont val="Times New Roman"/>
        <family val="1"/>
        <scheme val="minor"/>
      </rPr>
      <t>Reçues</t>
    </r>
    <r>
      <rPr>
        <b/>
        <sz val="14"/>
        <color rgb="FFFF0000"/>
        <rFont val="Times New Roman"/>
        <family val="2"/>
        <scheme val="minor"/>
      </rPr>
      <t xml:space="preserve"> des  FOURNISSEURS</t>
    </r>
  </si>
  <si>
    <t>Fact payées</t>
  </si>
  <si>
    <t>Aux Fournisseurs</t>
  </si>
  <si>
    <t>Approvionnements</t>
  </si>
  <si>
    <t>en cours de fabrication</t>
  </si>
  <si>
    <t>Immeubles destinés à la vebte</t>
  </si>
  <si>
    <t>Stock</t>
  </si>
  <si>
    <t>*******</t>
  </si>
  <si>
    <t>fournis-1an</t>
  </si>
  <si>
    <t>fournis+1an</t>
  </si>
  <si>
    <t>au client-1an</t>
  </si>
  <si>
    <t>=SI(ET( 'Val-Dép'!AE14="290/550"; 'Val-Dép'!I14&lt;&gt;"note de crédit");RECHERCHEV('Val-Dép'!AE14;'Val-Dép'!AE14:AF14;2;FAUX );"0")</t>
  </si>
  <si>
    <t>=SI(ESTNA(RECHERCHEV($C$126;'VAL-INIT'!$D$4:$F$90;3;FAUX));;RECHERCHEV($C$126;'VAL-INIT'!$D$4:$F$90;3;FAUX))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</si>
</sst>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 ;_ * \-#,##0.00_ ;_ * &quot;-&quot;??_ ;_ @_ "/>
    <numFmt numFmtId="165" formatCode="d/m;@"/>
    <numFmt numFmtId="166" formatCode="d/m/yy;@"/>
    <numFmt numFmtId="167" formatCode="#,##0.00_ ;\-#,##0.00\ "/>
    <numFmt numFmtId="168" formatCode="d/mm/yy;@"/>
    <numFmt numFmtId="169" formatCode="[$-80C]dd\-mmm\-yy;@"/>
    <numFmt numFmtId="170" formatCode="[$-40C]d\-mmm;@"/>
    <numFmt numFmtId="171" formatCode="#,##0_ ;\-#,##0\ "/>
    <numFmt numFmtId="172" formatCode="[$-40C]mmm\-yy;@"/>
    <numFmt numFmtId="173" formatCode="[$-40C]d\ mmmm\ yyyy;@"/>
    <numFmt numFmtId="174" formatCode="[$-40C]d\-mmm\-yy;@"/>
    <numFmt numFmtId="177" formatCode="#,##0.00\ &quot;€&quot;"/>
    <numFmt numFmtId="178" formatCode="#,##0.00\ _€"/>
  </numFmts>
  <fonts count="328" x14ac:knownFonts="1">
    <font>
      <sz val="11"/>
      <color theme="1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sz val="10"/>
      <color theme="1"/>
      <name val="Times New Roman"/>
      <family val="2"/>
      <scheme val="minor"/>
    </font>
    <font>
      <b/>
      <sz val="14"/>
      <color rgb="FFFF0000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sz val="12"/>
      <color theme="1"/>
      <name val="Times New Roman"/>
      <family val="2"/>
      <scheme val="minor"/>
    </font>
    <font>
      <b/>
      <sz val="12"/>
      <color rgb="FFFF0000"/>
      <name val="Times New Roman"/>
      <family val="2"/>
      <scheme val="minor"/>
    </font>
    <font>
      <b/>
      <sz val="11"/>
      <color rgb="FFFF0000"/>
      <name val="Times New Roman"/>
      <family val="2"/>
      <scheme val="minor"/>
    </font>
    <font>
      <sz val="11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sz val="14"/>
      <color theme="1"/>
      <name val="Times New Roman"/>
      <family val="2"/>
      <scheme val="minor"/>
    </font>
    <font>
      <sz val="14"/>
      <color theme="1"/>
      <name val="Times New Roman"/>
      <family val="1"/>
      <scheme val="minor"/>
    </font>
    <font>
      <b/>
      <sz val="14"/>
      <color theme="1"/>
      <name val="Times New Roman"/>
      <family val="1"/>
      <scheme val="minor"/>
    </font>
    <font>
      <b/>
      <sz val="10"/>
      <color theme="1"/>
      <name val="Times New Roman"/>
      <family val="1"/>
      <scheme val="minor"/>
    </font>
    <font>
      <sz val="16"/>
      <color theme="1"/>
      <name val="Times New Roman"/>
      <family val="2"/>
      <scheme val="minor"/>
    </font>
    <font>
      <b/>
      <sz val="14"/>
      <color rgb="FFFFFF00"/>
      <name val="Times New Roman"/>
      <family val="2"/>
      <scheme val="minor"/>
    </font>
    <font>
      <b/>
      <sz val="10"/>
      <color rgb="FF323232"/>
      <name val="Tahoma"/>
      <family val="2"/>
    </font>
    <font>
      <sz val="11"/>
      <color theme="1"/>
      <name val="Times New Roman"/>
      <family val="2"/>
      <scheme val="minor"/>
    </font>
    <font>
      <b/>
      <sz val="1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b/>
      <u val="singleAccounting"/>
      <sz val="11"/>
      <color theme="1"/>
      <name val="Times New Roman"/>
      <family val="2"/>
      <scheme val="minor"/>
    </font>
    <font>
      <b/>
      <sz val="9"/>
      <color rgb="FF323232"/>
      <name val="Tahoma"/>
      <family val="2"/>
    </font>
    <font>
      <sz val="9"/>
      <color theme="1"/>
      <name val="Times New Roman"/>
      <family val="2"/>
      <scheme val="minor"/>
    </font>
    <font>
      <sz val="10"/>
      <color theme="1"/>
      <name val="Times New Roman"/>
      <family val="1"/>
      <scheme val="minor"/>
    </font>
    <font>
      <b/>
      <sz val="10"/>
      <color rgb="FFFF0000"/>
      <name val="Times New Roman"/>
      <family val="1"/>
      <scheme val="minor"/>
    </font>
    <font>
      <b/>
      <sz val="14"/>
      <color rgb="FFFF0000"/>
      <name val="Times New Roman"/>
      <family val="1"/>
      <scheme val="minor"/>
    </font>
    <font>
      <b/>
      <sz val="12"/>
      <name val="Times New Roman"/>
      <family val="1"/>
      <scheme val="minor"/>
    </font>
    <font>
      <sz val="11"/>
      <color rgb="FFFF0000"/>
      <name val="Times New Roman"/>
      <family val="2"/>
      <scheme val="minor"/>
    </font>
    <font>
      <b/>
      <sz val="12"/>
      <color rgb="FFFF0000"/>
      <name val="Times New Roman"/>
      <family val="1"/>
      <scheme val="minor"/>
    </font>
    <font>
      <b/>
      <sz val="11"/>
      <color rgb="FFFF0000"/>
      <name val="Times New Roman"/>
      <family val="1"/>
      <scheme val="minor"/>
    </font>
    <font>
      <b/>
      <sz val="16"/>
      <color theme="1"/>
      <name val="Times New Roman"/>
      <family val="1"/>
      <scheme val="minor"/>
    </font>
    <font>
      <sz val="9"/>
      <color theme="1"/>
      <name val="Times New Roman"/>
      <family val="1"/>
      <scheme val="minor"/>
    </font>
    <font>
      <sz val="10"/>
      <name val="Arial"/>
      <family val="2"/>
    </font>
    <font>
      <sz val="12.1"/>
      <name val="Times New Roman"/>
      <family val="2"/>
      <scheme val="minor"/>
    </font>
    <font>
      <b/>
      <sz val="12.1"/>
      <name val="Times New Roman"/>
      <family val="2"/>
      <scheme val="minor"/>
    </font>
    <font>
      <b/>
      <i/>
      <sz val="11"/>
      <color theme="3" tint="0.39997558519241921"/>
      <name val="Times New Roman"/>
      <family val="2"/>
      <scheme val="minor"/>
    </font>
    <font>
      <b/>
      <i/>
      <sz val="14"/>
      <color theme="3" tint="0.39997558519241921"/>
      <name val="Times New Roman"/>
      <family val="2"/>
      <scheme val="minor"/>
    </font>
    <font>
      <sz val="7.5"/>
      <color indexed="8"/>
      <name val="Calibri"/>
      <family val="2"/>
    </font>
    <font>
      <b/>
      <sz val="14"/>
      <color theme="6" tint="-0.249977111117893"/>
      <name val="Times New Roman"/>
      <family val="2"/>
      <scheme val="minor"/>
    </font>
    <font>
      <sz val="12"/>
      <color indexed="8"/>
      <name val="Calibri"/>
      <family val="2"/>
    </font>
    <font>
      <b/>
      <sz val="24"/>
      <color theme="1"/>
      <name val="Times New Roman"/>
      <family val="2"/>
      <scheme val="minor"/>
    </font>
    <font>
      <sz val="10"/>
      <color rgb="FF323232"/>
      <name val="Tahoma"/>
      <family val="2"/>
    </font>
    <font>
      <b/>
      <sz val="16"/>
      <color rgb="FFFF0000"/>
      <name val="Times New Roman"/>
      <family val="2"/>
      <scheme val="minor"/>
    </font>
    <font>
      <b/>
      <sz val="16"/>
      <color theme="1"/>
      <name val="Times New Roman"/>
      <family val="2"/>
      <scheme val="minor"/>
    </font>
    <font>
      <b/>
      <sz val="10"/>
      <color theme="1"/>
      <name val="Arial"/>
      <family val="2"/>
    </font>
    <font>
      <b/>
      <sz val="12"/>
      <color rgb="FF0070C0"/>
      <name val="Times New Roman"/>
      <family val="2"/>
      <scheme val="minor"/>
    </font>
    <font>
      <sz val="9"/>
      <color theme="1"/>
      <name val="Arial"/>
      <family val="2"/>
    </font>
    <font>
      <b/>
      <u/>
      <sz val="11"/>
      <color rgb="FFFF0000"/>
      <name val="Times New Roman"/>
      <family val="2"/>
      <scheme val="minor"/>
    </font>
    <font>
      <b/>
      <sz val="11"/>
      <color rgb="FF0070C0"/>
      <name val="Times New Roman"/>
      <family val="2"/>
      <scheme val="minor"/>
    </font>
    <font>
      <sz val="11"/>
      <color theme="1"/>
      <name val="Times New Roman"/>
      <family val="1"/>
      <scheme val="minor"/>
    </font>
    <font>
      <sz val="8"/>
      <color theme="1"/>
      <name val="Times New Roman"/>
      <family val="2"/>
      <scheme val="minor"/>
    </font>
    <font>
      <b/>
      <sz val="8"/>
      <color theme="1"/>
      <name val="Times New Roman"/>
      <family val="2"/>
      <scheme val="minor"/>
    </font>
    <font>
      <b/>
      <sz val="8"/>
      <color rgb="FFFFFF00"/>
      <name val="Times New Roman"/>
      <family val="2"/>
      <scheme val="minor"/>
    </font>
    <font>
      <b/>
      <sz val="8"/>
      <color rgb="FFFF0000"/>
      <name val="Times New Roman"/>
      <family val="1"/>
      <scheme val="minor"/>
    </font>
    <font>
      <b/>
      <sz val="8"/>
      <name val="Times New Roman"/>
      <family val="2"/>
      <scheme val="minor"/>
    </font>
    <font>
      <sz val="8"/>
      <name val="Times New Roman"/>
      <family val="2"/>
      <scheme val="minor"/>
    </font>
    <font>
      <b/>
      <sz val="8"/>
      <color rgb="FFFF0000"/>
      <name val="Times New Roman"/>
      <family val="2"/>
      <scheme val="minor"/>
    </font>
    <font>
      <b/>
      <sz val="11"/>
      <color rgb="FF0070C0"/>
      <name val="Times New Roman"/>
      <family val="1"/>
      <scheme val="minor"/>
    </font>
    <font>
      <b/>
      <sz val="8"/>
      <color rgb="FF323232"/>
      <name val="Times New Roman"/>
      <family val="2"/>
      <scheme val="minor"/>
    </font>
    <font>
      <b/>
      <sz val="9"/>
      <color theme="1"/>
      <name val="Times New Roman"/>
      <family val="1"/>
      <scheme val="minor"/>
    </font>
    <font>
      <b/>
      <sz val="9"/>
      <name val="Times New Roman"/>
      <family val="1"/>
      <scheme val="minor"/>
    </font>
    <font>
      <b/>
      <sz val="8"/>
      <name val="Times New Roman"/>
      <family val="1"/>
      <scheme val="minor"/>
    </font>
    <font>
      <b/>
      <sz val="11"/>
      <color rgb="FFFFFF00"/>
      <name val="Times New Roman"/>
      <family val="1"/>
      <scheme val="minor"/>
    </font>
    <font>
      <b/>
      <sz val="9"/>
      <color rgb="FFFFFF00"/>
      <name val="Times New Roman"/>
      <family val="2"/>
      <scheme val="minor"/>
    </font>
    <font>
      <b/>
      <sz val="11"/>
      <name val="Times New Roman"/>
      <family val="1"/>
      <scheme val="minor"/>
    </font>
    <font>
      <sz val="11"/>
      <color rgb="FFFF0000"/>
      <name val="Times New Roman"/>
      <family val="1"/>
      <scheme val="minor"/>
    </font>
    <font>
      <i/>
      <u/>
      <sz val="11"/>
      <color theme="1"/>
      <name val="Times New Roman"/>
      <family val="1"/>
      <scheme val="minor"/>
    </font>
    <font>
      <b/>
      <sz val="14"/>
      <name val="Times New Roman"/>
      <family val="2"/>
      <scheme val="minor"/>
    </font>
    <font>
      <b/>
      <sz val="12"/>
      <color rgb="FF3E3E3E"/>
      <name val="Courier New"/>
      <family val="3"/>
    </font>
    <font>
      <sz val="10"/>
      <name val="Tahoma"/>
      <family val="2"/>
    </font>
    <font>
      <sz val="12"/>
      <color rgb="FF3E3E3E"/>
      <name val="Courier New"/>
      <family val="3"/>
    </font>
    <font>
      <sz val="11"/>
      <color rgb="FF000000"/>
      <name val="Courier"/>
      <family val="3"/>
    </font>
    <font>
      <sz val="8"/>
      <name val="Times New Roman"/>
      <family val="1"/>
      <scheme val="minor"/>
    </font>
    <font>
      <sz val="12"/>
      <color rgb="FFFF0000"/>
      <name val="Times New Roman"/>
      <family val="2"/>
      <scheme val="minor"/>
    </font>
    <font>
      <b/>
      <sz val="12"/>
      <color rgb="FF323232"/>
      <name val="Times New Roman"/>
      <family val="2"/>
      <scheme val="minor"/>
    </font>
    <font>
      <sz val="12"/>
      <name val="Times New Roman"/>
      <family val="1"/>
      <scheme val="minor"/>
    </font>
    <font>
      <b/>
      <i/>
      <u/>
      <sz val="11"/>
      <color theme="1"/>
      <name val="Times New Roman"/>
      <family val="1"/>
      <scheme val="minor"/>
    </font>
    <font>
      <b/>
      <i/>
      <u/>
      <sz val="14"/>
      <color theme="1"/>
      <name val="Times New Roman"/>
      <family val="1"/>
      <scheme val="minor"/>
    </font>
    <font>
      <sz val="11"/>
      <color theme="1"/>
      <name val="Times New Roman"/>
      <family val="2"/>
      <scheme val="minor"/>
    </font>
    <font>
      <sz val="11"/>
      <name val="Times New Roman"/>
      <family val="2"/>
      <scheme val="minor"/>
    </font>
    <font>
      <sz val="9"/>
      <color theme="1"/>
      <name val="Times New Roman"/>
      <family val="2"/>
      <scheme val="minor"/>
    </font>
    <font>
      <sz val="10"/>
      <color theme="1"/>
      <name val="Times New Roman"/>
      <family val="2"/>
      <scheme val="minor"/>
    </font>
    <font>
      <b/>
      <sz val="14"/>
      <color rgb="FFFF0000"/>
      <name val="Times New Roman"/>
      <family val="2"/>
      <scheme val="minor"/>
    </font>
    <font>
      <sz val="10"/>
      <name val="Times New Roman"/>
      <family val="2"/>
      <scheme val="minor"/>
    </font>
    <font>
      <b/>
      <sz val="12"/>
      <color theme="1"/>
      <name val="Times New Roman"/>
      <family val="2"/>
      <scheme val="minor"/>
    </font>
    <font>
      <b/>
      <sz val="14"/>
      <name val="Times New Roman"/>
      <family val="2"/>
      <scheme val="minor"/>
    </font>
    <font>
      <b/>
      <sz val="14"/>
      <color theme="1"/>
      <name val="Times New Roman"/>
      <family val="1"/>
      <scheme val="minor"/>
    </font>
    <font>
      <b/>
      <sz val="11"/>
      <name val="Times New Roman"/>
      <family val="2"/>
      <scheme val="minor"/>
    </font>
    <font>
      <b/>
      <sz val="16"/>
      <color rgb="FFFF0000"/>
      <name val="Times New Roman"/>
      <family val="1"/>
      <scheme val="minor"/>
    </font>
    <font>
      <b/>
      <sz val="14"/>
      <name val="Times New Roman"/>
      <family val="1"/>
      <scheme val="minor"/>
    </font>
    <font>
      <b/>
      <sz val="11"/>
      <name val="Times New Roman"/>
      <family val="1"/>
      <scheme val="minor"/>
    </font>
    <font>
      <b/>
      <sz val="12"/>
      <name val="Times New Roman"/>
      <family val="1"/>
      <scheme val="minor"/>
    </font>
    <font>
      <b/>
      <sz val="11"/>
      <color theme="1"/>
      <name val="Times New Roman"/>
      <family val="1"/>
      <scheme val="minor"/>
    </font>
    <font>
      <b/>
      <sz val="12"/>
      <color rgb="FFFF0000"/>
      <name val="Times New Roman"/>
      <family val="1"/>
      <scheme val="minor"/>
    </font>
    <font>
      <b/>
      <sz val="11"/>
      <color rgb="FFFF0000"/>
      <name val="Times New Roman"/>
      <family val="1"/>
      <scheme val="minor"/>
    </font>
    <font>
      <b/>
      <sz val="16"/>
      <name val="Times New Roman"/>
      <family val="1"/>
      <scheme val="minor"/>
    </font>
    <font>
      <b/>
      <sz val="11"/>
      <color rgb="FFFF0000"/>
      <name val="Times New Roman"/>
      <family val="2"/>
      <scheme val="minor"/>
    </font>
    <font>
      <b/>
      <sz val="12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b/>
      <sz val="14"/>
      <color theme="1"/>
      <name val="Times New Roman"/>
      <family val="2"/>
      <scheme val="minor"/>
    </font>
    <font>
      <b/>
      <sz val="16"/>
      <color theme="1"/>
      <name val="Times New Roman"/>
      <family val="2"/>
      <scheme val="minor"/>
    </font>
    <font>
      <b/>
      <sz val="20"/>
      <color theme="1"/>
      <name val="Times New Roman"/>
      <family val="2"/>
      <scheme val="minor"/>
    </font>
    <font>
      <b/>
      <u/>
      <sz val="14"/>
      <name val="Times New Roman"/>
      <family val="1"/>
      <scheme val="minor"/>
    </font>
    <font>
      <sz val="12"/>
      <name val="Times New Roman"/>
      <family val="2"/>
      <scheme val="minor"/>
    </font>
    <font>
      <sz val="12"/>
      <color theme="1"/>
      <name val="Times New Roman"/>
      <family val="2"/>
      <scheme val="minor"/>
    </font>
    <font>
      <b/>
      <sz val="10"/>
      <color theme="1"/>
      <name val="Times New Roman"/>
      <family val="1"/>
      <scheme val="minor"/>
    </font>
    <font>
      <b/>
      <sz val="10"/>
      <color theme="1"/>
      <name val="Times New Roman"/>
      <family val="2"/>
      <scheme val="minor"/>
    </font>
    <font>
      <b/>
      <sz val="10"/>
      <color rgb="FFFF0000"/>
      <name val="Times New Roman"/>
      <family val="2"/>
      <scheme val="minor"/>
    </font>
    <font>
      <b/>
      <sz val="12"/>
      <color rgb="FFFF0000"/>
      <name val="Times New Roman"/>
      <family val="2"/>
      <scheme val="minor"/>
    </font>
    <font>
      <sz val="9"/>
      <color theme="1"/>
      <name val="Times New Roman"/>
      <family val="1"/>
      <scheme val="minor"/>
    </font>
    <font>
      <b/>
      <sz val="14"/>
      <color rgb="FFFF0000"/>
      <name val="Times New Roman"/>
      <family val="1"/>
      <scheme val="minor"/>
    </font>
    <font>
      <b/>
      <sz val="10"/>
      <color rgb="FFFF0000"/>
      <name val="Times New Roman"/>
      <family val="1"/>
      <scheme val="minor"/>
    </font>
    <font>
      <sz val="10"/>
      <color rgb="FFFF0000"/>
      <name val="Times New Roman"/>
      <family val="1"/>
      <scheme val="minor"/>
    </font>
    <font>
      <b/>
      <sz val="10"/>
      <name val="Times New Roman"/>
      <family val="1"/>
      <scheme val="minor"/>
    </font>
    <font>
      <b/>
      <sz val="16"/>
      <color theme="1"/>
      <name val="Times New Roman"/>
      <family val="1"/>
      <scheme val="minor"/>
    </font>
    <font>
      <b/>
      <sz val="10"/>
      <color rgb="FFFFFF00"/>
      <name val="Times New Roman"/>
      <family val="2"/>
      <scheme val="minor"/>
    </font>
    <font>
      <b/>
      <sz val="16"/>
      <color rgb="FFFF0000"/>
      <name val="Times New Roman"/>
      <family val="2"/>
      <scheme val="minor"/>
    </font>
    <font>
      <b/>
      <sz val="10"/>
      <name val="Times New Roman"/>
      <family val="2"/>
      <scheme val="minor"/>
    </font>
    <font>
      <b/>
      <sz val="18"/>
      <color rgb="FFFF0000"/>
      <name val="Times New Roman"/>
      <family val="2"/>
      <scheme val="minor"/>
    </font>
    <font>
      <b/>
      <sz val="18"/>
      <color theme="1"/>
      <name val="Times New Roman"/>
      <family val="1"/>
      <scheme val="minor"/>
    </font>
    <font>
      <b/>
      <sz val="11"/>
      <color theme="1"/>
      <name val="Times New Roman"/>
      <family val="2"/>
      <scheme val="minor"/>
    </font>
    <font>
      <b/>
      <sz val="9"/>
      <color theme="1"/>
      <name val="Times New Roman"/>
      <family val="1"/>
      <scheme val="minor"/>
    </font>
    <font>
      <sz val="10"/>
      <color theme="1"/>
      <name val="Times New Roman"/>
      <family val="1"/>
      <scheme val="minor"/>
    </font>
    <font>
      <b/>
      <sz val="9"/>
      <color rgb="FFFF0000"/>
      <name val="Times New Roman"/>
      <family val="1"/>
      <scheme val="minor"/>
    </font>
    <font>
      <sz val="10"/>
      <color rgb="FFFF0000"/>
      <name val="Times New Roman"/>
      <family val="2"/>
      <scheme val="minor"/>
    </font>
    <font>
      <sz val="9"/>
      <name val="Times New Roman"/>
      <family val="2"/>
      <scheme val="minor"/>
    </font>
    <font>
      <b/>
      <sz val="9"/>
      <color theme="1"/>
      <name val="Times New Roman"/>
      <family val="2"/>
      <scheme val="minor"/>
    </font>
    <font>
      <b/>
      <sz val="10"/>
      <color rgb="FF323232"/>
      <name val="Tahoma"/>
      <family val="2"/>
    </font>
    <font>
      <sz val="10"/>
      <name val="Tahoma"/>
      <family val="2"/>
    </font>
    <font>
      <b/>
      <sz val="9"/>
      <color rgb="FF323232"/>
      <name val="Tahoma"/>
      <family val="2"/>
    </font>
    <font>
      <b/>
      <sz val="12"/>
      <color rgb="FFC00000"/>
      <name val="Times New Roman"/>
      <family val="1"/>
      <scheme val="minor"/>
    </font>
    <font>
      <sz val="12"/>
      <color theme="1"/>
      <name val="Times New Roman"/>
      <family val="1"/>
      <scheme val="minor"/>
    </font>
    <font>
      <sz val="11"/>
      <color theme="1"/>
      <name val="Times New Roman"/>
      <family val="1"/>
      <scheme val="minor"/>
    </font>
    <font>
      <sz val="11"/>
      <name val="Times New Roman"/>
      <family val="1"/>
      <scheme val="minor"/>
    </font>
    <font>
      <b/>
      <sz val="12"/>
      <color theme="1"/>
      <name val="Times New Roman"/>
      <family val="1"/>
      <scheme val="minor"/>
    </font>
    <font>
      <sz val="9"/>
      <color theme="1"/>
      <name val="Times New Roman"/>
      <family val="1"/>
      <scheme val="minor"/>
    </font>
    <font>
      <b/>
      <sz val="10"/>
      <color rgb="FFFF0000"/>
      <name val="Times New Roman"/>
      <family val="1"/>
      <scheme val="minor"/>
    </font>
    <font>
      <sz val="11"/>
      <color theme="1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sz val="9"/>
      <color rgb="FFFF0000"/>
      <name val="Times New Roman"/>
      <family val="1"/>
      <scheme val="minor"/>
    </font>
    <font>
      <b/>
      <sz val="12"/>
      <color theme="1"/>
      <name val="Times New Roman"/>
      <family val="2"/>
      <scheme val="minor"/>
    </font>
    <font>
      <b/>
      <sz val="9"/>
      <color theme="1"/>
      <name val="Times New Roman"/>
      <family val="1"/>
      <scheme val="minor"/>
    </font>
    <font>
      <sz val="9"/>
      <name val="Times New Roman"/>
      <family val="1"/>
      <scheme val="minor"/>
    </font>
    <font>
      <b/>
      <sz val="9"/>
      <color rgb="FF3E3E3E"/>
      <name val="Tahoma"/>
      <family val="2"/>
    </font>
    <font>
      <sz val="12"/>
      <color theme="1"/>
      <name val="Times New Roman"/>
      <family val="1"/>
      <scheme val="minor"/>
    </font>
    <font>
      <sz val="10"/>
      <color theme="1"/>
      <name val="Times New Roman"/>
      <family val="2"/>
      <scheme val="minor"/>
    </font>
    <font>
      <b/>
      <sz val="12"/>
      <color rgb="FFFF0000"/>
      <name val="Times New Roman"/>
      <family val="1"/>
      <scheme val="minor"/>
    </font>
    <font>
      <b/>
      <sz val="8"/>
      <color rgb="FF323232"/>
      <name val="Times New Roman"/>
      <family val="1"/>
      <scheme val="minor"/>
    </font>
    <font>
      <sz val="8"/>
      <name val="Times New Roman"/>
      <family val="1"/>
      <scheme val="minor"/>
    </font>
    <font>
      <sz val="11"/>
      <name val="Times New Roman"/>
      <family val="2"/>
      <scheme val="minor"/>
    </font>
    <font>
      <sz val="12"/>
      <color theme="1"/>
      <name val="Times New Roman"/>
      <family val="2"/>
      <scheme val="minor"/>
    </font>
    <font>
      <b/>
      <sz val="11"/>
      <color rgb="FFFF0000"/>
      <name val="Times New Roman"/>
      <family val="2"/>
      <scheme val="minor"/>
    </font>
    <font>
      <b/>
      <sz val="11"/>
      <name val="Times New Roman"/>
      <family val="2"/>
      <scheme val="minor"/>
    </font>
    <font>
      <b/>
      <sz val="12"/>
      <name val="Times New Roman"/>
      <family val="1"/>
      <scheme val="minor"/>
    </font>
    <font>
      <b/>
      <sz val="11"/>
      <color rgb="FFFF0000"/>
      <name val="Times New Roman"/>
      <family val="1"/>
      <scheme val="minor"/>
    </font>
    <font>
      <sz val="9"/>
      <color theme="1"/>
      <name val="Times New Roman"/>
      <family val="2"/>
      <scheme val="minor"/>
    </font>
    <font>
      <b/>
      <sz val="12"/>
      <color rgb="FFFF0000"/>
      <name val="Times New Roman"/>
      <family val="2"/>
      <scheme val="minor"/>
    </font>
    <font>
      <b/>
      <sz val="10"/>
      <color rgb="FFFF0000"/>
      <name val="Times New Roman"/>
      <family val="2"/>
      <scheme val="minor"/>
    </font>
    <font>
      <b/>
      <u val="singleAccounting"/>
      <sz val="10"/>
      <color rgb="FFFF0000"/>
      <name val="Times New Roman"/>
      <family val="1"/>
      <scheme val="minor"/>
    </font>
    <font>
      <b/>
      <u val="singleAccounting"/>
      <sz val="12"/>
      <color rgb="FFFF0000"/>
      <name val="Times New Roman"/>
      <family val="1"/>
      <scheme val="minor"/>
    </font>
    <font>
      <sz val="14"/>
      <color theme="1"/>
      <name val="Times New Roman"/>
      <family val="2"/>
      <scheme val="minor"/>
    </font>
    <font>
      <b/>
      <sz val="9"/>
      <name val="Times New Roman"/>
      <family val="2"/>
      <scheme val="minor"/>
    </font>
    <font>
      <b/>
      <sz val="14"/>
      <color rgb="FFFF0000"/>
      <name val="Times New Roman"/>
      <family val="1"/>
      <scheme val="minor"/>
    </font>
    <font>
      <b/>
      <sz val="12"/>
      <name val="Times New Roman"/>
      <family val="2"/>
      <scheme val="minor"/>
    </font>
    <font>
      <b/>
      <sz val="10"/>
      <color theme="1"/>
      <name val="Times New Roman"/>
      <family val="1"/>
      <scheme val="minor"/>
    </font>
    <font>
      <b/>
      <sz val="10"/>
      <color theme="1"/>
      <name val="Times New Roman"/>
      <family val="2"/>
      <scheme val="minor"/>
    </font>
    <font>
      <b/>
      <sz val="14"/>
      <color theme="1"/>
      <name val="Times New Roman"/>
      <family val="1"/>
      <scheme val="minor"/>
    </font>
    <font>
      <b/>
      <sz val="8"/>
      <color rgb="FFFF0000"/>
      <name val="Times New Roman"/>
      <family val="2"/>
      <scheme val="minor"/>
    </font>
    <font>
      <b/>
      <sz val="10"/>
      <name val="Times New Roman"/>
      <family val="2"/>
      <scheme val="minor"/>
    </font>
    <font>
      <b/>
      <sz val="12"/>
      <color rgb="FF323232"/>
      <name val="Times New Roman"/>
      <family val="1"/>
      <scheme val="minor"/>
    </font>
    <font>
      <b/>
      <sz val="9"/>
      <color rgb="FF323232"/>
      <name val="Tahoma"/>
      <family val="2"/>
    </font>
    <font>
      <b/>
      <sz val="10"/>
      <color rgb="FF323232"/>
      <name val="Tahoma"/>
      <family val="2"/>
    </font>
    <font>
      <sz val="10"/>
      <name val="Times New Roman"/>
      <family val="2"/>
      <scheme val="minor"/>
    </font>
    <font>
      <b/>
      <sz val="9"/>
      <name val="Times New Roman"/>
      <family val="1"/>
      <scheme val="minor"/>
    </font>
    <font>
      <b/>
      <sz val="8"/>
      <color rgb="FFFFFF00"/>
      <name val="Times New Roman"/>
      <family val="2"/>
      <scheme val="minor"/>
    </font>
    <font>
      <b/>
      <sz val="9"/>
      <color rgb="FFFFFF00"/>
      <name val="Times New Roman"/>
      <family val="2"/>
      <scheme val="minor"/>
    </font>
    <font>
      <b/>
      <sz val="12"/>
      <color rgb="FFFFFF00"/>
      <name val="Times New Roman"/>
      <family val="2"/>
      <scheme val="minor"/>
    </font>
    <font>
      <b/>
      <sz val="11"/>
      <color rgb="FFFFFF00"/>
      <name val="Times New Roman"/>
      <family val="1"/>
      <scheme val="minor"/>
    </font>
    <font>
      <sz val="14"/>
      <color theme="1"/>
      <name val="Times New Roman"/>
      <family val="1"/>
      <scheme val="minor"/>
    </font>
    <font>
      <b/>
      <sz val="8"/>
      <name val="Times New Roman"/>
      <family val="1"/>
      <scheme val="minor"/>
    </font>
    <font>
      <sz val="16"/>
      <name val="Times New Roman"/>
      <family val="2"/>
      <scheme val="minor"/>
    </font>
    <font>
      <b/>
      <sz val="9"/>
      <color rgb="FFFF0000"/>
      <name val="Times New Roman"/>
      <family val="1"/>
      <scheme val="minor"/>
    </font>
    <font>
      <b/>
      <sz val="14"/>
      <color rgb="FFFF0000"/>
      <name val="Times New Roman"/>
      <family val="2"/>
      <scheme val="minor"/>
    </font>
    <font>
      <sz val="12"/>
      <color rgb="FF3E3E3E"/>
      <name val="Courier New"/>
      <family val="3"/>
    </font>
    <font>
      <b/>
      <sz val="14"/>
      <color theme="1"/>
      <name val="Times New Roman"/>
      <family val="2"/>
      <scheme val="minor"/>
    </font>
    <font>
      <sz val="11"/>
      <color rgb="FFFF0000"/>
      <name val="Times New Roman"/>
      <family val="2"/>
      <scheme val="minor"/>
    </font>
    <font>
      <b/>
      <sz val="12"/>
      <color rgb="FF00B050"/>
      <name val="Times New Roman"/>
      <family val="1"/>
      <scheme val="minor"/>
    </font>
    <font>
      <b/>
      <u/>
      <sz val="12"/>
      <color rgb="FFFF0000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4"/>
      <name val="Times New Roman"/>
      <family val="2"/>
      <scheme val="minor"/>
    </font>
    <font>
      <b/>
      <sz val="10"/>
      <name val="Times New Roman"/>
      <family val="1"/>
      <scheme val="minor"/>
    </font>
    <font>
      <sz val="14"/>
      <name val="Times New Roman"/>
      <family val="2"/>
      <scheme val="minor"/>
    </font>
    <font>
      <b/>
      <sz val="14"/>
      <color rgb="FFFFFF00"/>
      <name val="Times New Roman"/>
      <family val="2"/>
      <scheme val="minor"/>
    </font>
    <font>
      <b/>
      <sz val="10"/>
      <color rgb="FF3E3E3E"/>
      <name val="Times New Roman"/>
      <family val="1"/>
    </font>
    <font>
      <b/>
      <u/>
      <sz val="10"/>
      <color rgb="FFFF0000"/>
      <name val="Times New Roman"/>
      <family val="2"/>
      <scheme val="minor"/>
    </font>
    <font>
      <sz val="12.1"/>
      <name val="Times New Roman"/>
      <family val="1"/>
      <scheme val="minor"/>
    </font>
    <font>
      <sz val="8"/>
      <color theme="1"/>
      <name val="Times New Roman"/>
      <family val="2"/>
      <scheme val="minor"/>
    </font>
    <font>
      <b/>
      <sz val="8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b/>
      <sz val="11"/>
      <color rgb="FFFFFF00"/>
      <name val="Times New Roman"/>
      <family val="2"/>
      <scheme val="minor"/>
    </font>
    <font>
      <b/>
      <sz val="12"/>
      <color rgb="FFFF0000"/>
      <name val="Times New Roman"/>
      <family val="1"/>
      <scheme val="minor"/>
    </font>
    <font>
      <b/>
      <sz val="14"/>
      <color rgb="FFFFFF00"/>
      <name val="Times New Roman"/>
      <family val="2"/>
      <scheme val="minor"/>
    </font>
    <font>
      <b/>
      <sz val="8"/>
      <color rgb="FFFF0000"/>
      <name val="Times New Roman"/>
      <family val="2"/>
      <scheme val="minor"/>
    </font>
    <font>
      <b/>
      <u/>
      <sz val="8"/>
      <color rgb="FFFF0000"/>
      <name val="Times New Roman"/>
      <family val="2"/>
      <scheme val="minor"/>
    </font>
    <font>
      <b/>
      <sz val="8"/>
      <name val="Times New Roman"/>
      <family val="2"/>
      <scheme val="minor"/>
    </font>
    <font>
      <b/>
      <sz val="9"/>
      <color rgb="FFFF0000"/>
      <name val="Times New Roman"/>
      <family val="2"/>
      <scheme val="minor"/>
    </font>
    <font>
      <b/>
      <sz val="8"/>
      <color rgb="FF323232"/>
      <name val="Tahoma"/>
      <family val="2"/>
    </font>
    <font>
      <b/>
      <sz val="8"/>
      <color rgb="FF7030A0"/>
      <name val="Times New Roman"/>
      <family val="2"/>
      <scheme val="minor"/>
    </font>
    <font>
      <b/>
      <u/>
      <sz val="8"/>
      <color theme="1"/>
      <name val="Times New Roman"/>
      <family val="2"/>
      <scheme val="minor"/>
    </font>
    <font>
      <sz val="9"/>
      <color theme="1"/>
      <name val="Times New Roman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Times New Roman"/>
      <family val="1"/>
      <scheme val="minor"/>
    </font>
    <font>
      <b/>
      <sz val="14"/>
      <color theme="1"/>
      <name val="Times New Roman"/>
      <family val="1"/>
      <scheme val="minor"/>
    </font>
    <font>
      <sz val="11"/>
      <color theme="1"/>
      <name val="Times New Roman"/>
      <family val="2"/>
      <scheme val="minor"/>
    </font>
    <font>
      <b/>
      <sz val="16"/>
      <color theme="1"/>
      <name val="Times New Roman"/>
      <family val="1"/>
      <scheme val="minor"/>
    </font>
    <font>
      <b/>
      <sz val="12"/>
      <color theme="1"/>
      <name val="Times New Roman"/>
      <family val="2"/>
      <scheme val="minor"/>
    </font>
    <font>
      <sz val="14"/>
      <color theme="1"/>
      <name val="Times New Roman"/>
      <family val="2"/>
      <scheme val="minor"/>
    </font>
    <font>
      <sz val="16"/>
      <color theme="1"/>
      <name val="Times New Roman"/>
      <family val="2"/>
      <scheme val="minor"/>
    </font>
    <font>
      <sz val="12"/>
      <color theme="1"/>
      <name val="Times New Roman"/>
      <family val="2"/>
      <scheme val="minor"/>
    </font>
    <font>
      <sz val="14"/>
      <color theme="1"/>
      <name val="Times New Roman"/>
      <family val="1"/>
      <scheme val="minor"/>
    </font>
    <font>
      <b/>
      <sz val="10"/>
      <color theme="1"/>
      <name val="Times New Roman"/>
      <family val="1"/>
      <scheme val="minor"/>
    </font>
    <font>
      <b/>
      <sz val="12"/>
      <color theme="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1"/>
      <color rgb="FF00B050"/>
      <name val="Times New Roman"/>
      <family val="2"/>
      <scheme val="minor"/>
    </font>
    <font>
      <b/>
      <sz val="16"/>
      <color rgb="FFFF0000"/>
      <name val="Times New Roman"/>
      <family val="2"/>
      <scheme val="minor"/>
    </font>
    <font>
      <b/>
      <sz val="14"/>
      <color rgb="FFFF0000"/>
      <name val="Times New Roman"/>
      <family val="2"/>
      <scheme val="minor"/>
    </font>
    <font>
      <b/>
      <sz val="16"/>
      <name val="Times New Roman"/>
      <family val="1"/>
      <scheme val="minor"/>
    </font>
    <font>
      <sz val="11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1"/>
      <name val="Times New Roman"/>
      <family val="1"/>
      <scheme val="minor"/>
    </font>
    <font>
      <b/>
      <sz val="11"/>
      <color theme="1"/>
      <name val="Times New Roman"/>
      <family val="1"/>
      <scheme val="minor"/>
    </font>
    <font>
      <b/>
      <sz val="14"/>
      <color rgb="FFFFFF00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b/>
      <sz val="16"/>
      <color theme="1"/>
      <name val="Times New Roman"/>
      <family val="2"/>
      <scheme val="minor"/>
    </font>
    <font>
      <sz val="11"/>
      <color theme="1"/>
      <name val="Times New Roman"/>
      <family val="1"/>
      <scheme val="minor"/>
    </font>
    <font>
      <b/>
      <sz val="16"/>
      <color theme="1"/>
      <name val="Times New Roman"/>
      <family val="1"/>
      <scheme val="minor"/>
    </font>
    <font>
      <sz val="14"/>
      <color theme="1"/>
      <name val="Times New Roman"/>
      <family val="2"/>
      <scheme val="minor"/>
    </font>
    <font>
      <b/>
      <sz val="12"/>
      <color rgb="FFFF0000"/>
      <name val="Times New Roman"/>
      <family val="2"/>
      <scheme val="minor"/>
    </font>
    <font>
      <sz val="11"/>
      <color theme="1"/>
      <name val="Times New Roman"/>
      <family val="2"/>
      <scheme val="minor"/>
    </font>
    <font>
      <sz val="10"/>
      <color theme="1"/>
      <name val="Times New Roman"/>
      <family val="1"/>
      <scheme val="minor"/>
    </font>
    <font>
      <sz val="11"/>
      <color theme="1"/>
      <name val="Times New Roman"/>
      <family val="1"/>
      <scheme val="minor"/>
    </font>
    <font>
      <b/>
      <sz val="16"/>
      <color theme="1"/>
      <name val="Times New Roman"/>
      <family val="1"/>
      <scheme val="minor"/>
    </font>
    <font>
      <b/>
      <sz val="14"/>
      <color rgb="FFFF0000"/>
      <name val="Times New Roman"/>
      <family val="1"/>
      <scheme val="minor"/>
    </font>
    <font>
      <b/>
      <sz val="14"/>
      <color rgb="FFFF0000"/>
      <name val="Times New Roman"/>
      <family val="2"/>
      <scheme val="minor"/>
    </font>
    <font>
      <b/>
      <sz val="11"/>
      <color rgb="FFFF0000"/>
      <name val="Times New Roman"/>
      <family val="1"/>
      <scheme val="minor"/>
    </font>
    <font>
      <sz val="10"/>
      <color theme="1"/>
      <name val="Times New Roman"/>
      <family val="2"/>
      <scheme val="minor"/>
    </font>
    <font>
      <b/>
      <i/>
      <sz val="11"/>
      <name val="Times New Roman"/>
      <family val="1"/>
      <scheme val="minor"/>
    </font>
    <font>
      <b/>
      <sz val="12"/>
      <name val="Times New Roman"/>
      <family val="1"/>
      <scheme val="minor"/>
    </font>
    <font>
      <b/>
      <sz val="14"/>
      <color theme="1"/>
      <name val="Times New Roman"/>
      <family val="1"/>
      <scheme val="minor"/>
    </font>
    <font>
      <b/>
      <sz val="11"/>
      <color theme="1"/>
      <name val="Times New Roman"/>
      <family val="1"/>
      <scheme val="minor"/>
    </font>
    <font>
      <b/>
      <sz val="11"/>
      <name val="Times New Roman"/>
      <family val="1"/>
      <scheme val="minor"/>
    </font>
    <font>
      <b/>
      <sz val="10"/>
      <color rgb="FFFF0000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sz val="12"/>
      <color theme="1"/>
      <name val="Times New Roman"/>
      <family val="1"/>
      <scheme val="minor"/>
    </font>
    <font>
      <sz val="11"/>
      <name val="Times New Roman"/>
      <family val="1"/>
      <scheme val="minor"/>
    </font>
    <font>
      <b/>
      <sz val="10"/>
      <color theme="1"/>
      <name val="Times New Roman"/>
      <family val="1"/>
      <scheme val="minor"/>
    </font>
    <font>
      <b/>
      <i/>
      <sz val="10"/>
      <color theme="1"/>
      <name val="Times New Roman"/>
      <family val="1"/>
      <scheme val="minor"/>
    </font>
    <font>
      <b/>
      <sz val="14"/>
      <name val="Times New Roman"/>
      <family val="1"/>
      <scheme val="minor"/>
    </font>
    <font>
      <i/>
      <sz val="10"/>
      <color theme="1"/>
      <name val="Times New Roman"/>
      <family val="1"/>
      <scheme val="minor"/>
    </font>
    <font>
      <b/>
      <i/>
      <sz val="11"/>
      <color rgb="FFFF0000"/>
      <name val="Times New Roman"/>
      <family val="1"/>
      <scheme val="minor"/>
    </font>
    <font>
      <b/>
      <sz val="18"/>
      <name val="Times New Roman"/>
      <family val="1"/>
      <scheme val="minor"/>
    </font>
    <font>
      <sz val="16"/>
      <color theme="1"/>
      <name val="Times New Roman"/>
      <family val="2"/>
      <scheme val="minor"/>
    </font>
    <font>
      <sz val="14"/>
      <color theme="1"/>
      <name val="Times New Roman"/>
      <family val="2"/>
      <scheme val="minor"/>
    </font>
    <font>
      <sz val="12"/>
      <color rgb="FF3E3E3E"/>
      <name val="Courier New"/>
      <family val="3"/>
    </font>
    <font>
      <b/>
      <sz val="12"/>
      <color rgb="FFFF0000"/>
      <name val="Arial"/>
      <family val="2"/>
    </font>
    <font>
      <sz val="11"/>
      <color theme="1"/>
      <name val="Times New Roman"/>
      <family val="2"/>
      <scheme val="minor"/>
    </font>
    <font>
      <b/>
      <sz val="22"/>
      <color theme="1"/>
      <name val="Times New Roman"/>
      <family val="2"/>
      <scheme val="minor"/>
    </font>
    <font>
      <b/>
      <sz val="14"/>
      <color theme="1"/>
      <name val="Times New Roman"/>
      <family val="2"/>
      <scheme val="minor"/>
    </font>
    <font>
      <u val="double"/>
      <sz val="11"/>
      <color rgb="FFFF0000"/>
      <name val="Times New Roman"/>
      <family val="1"/>
      <scheme val="minor"/>
    </font>
    <font>
      <b/>
      <sz val="11"/>
      <color rgb="FFFF0000"/>
      <name val="Times New Roman"/>
      <family val="2"/>
      <scheme val="minor"/>
    </font>
    <font>
      <b/>
      <sz val="16"/>
      <name val="Times New Roman"/>
      <family val="2"/>
      <scheme val="minor"/>
    </font>
    <font>
      <b/>
      <sz val="14"/>
      <color theme="1"/>
      <name val="Times New Roman"/>
      <family val="1"/>
      <scheme val="minor"/>
    </font>
    <font>
      <b/>
      <sz val="14"/>
      <name val="Times New Roman"/>
      <family val="2"/>
      <scheme val="minor"/>
    </font>
    <font>
      <b/>
      <sz val="12"/>
      <color theme="1"/>
      <name val="Times New Roman"/>
      <family val="1"/>
      <scheme val="minor"/>
    </font>
    <font>
      <b/>
      <sz val="10"/>
      <color rgb="FF323232"/>
      <name val="Times New Roman"/>
      <family val="1"/>
      <scheme val="minor"/>
    </font>
    <font>
      <b/>
      <sz val="14"/>
      <color rgb="FFC00000"/>
      <name val="Times New Roman"/>
      <family val="1"/>
      <scheme val="minor"/>
    </font>
    <font>
      <b/>
      <i/>
      <sz val="12"/>
      <color theme="1"/>
      <name val="Times New Roman"/>
      <family val="1"/>
      <scheme val="minor"/>
    </font>
    <font>
      <b/>
      <i/>
      <sz val="11"/>
      <color theme="1"/>
      <name val="Times New Roman"/>
      <family val="1"/>
      <scheme val="minor"/>
    </font>
    <font>
      <b/>
      <i/>
      <u val="singleAccounting"/>
      <sz val="11"/>
      <name val="Times New Roman"/>
      <family val="1"/>
      <scheme val="minor"/>
    </font>
    <font>
      <b/>
      <i/>
      <u val="singleAccounting"/>
      <sz val="12"/>
      <name val="Times New Roman"/>
      <family val="1"/>
      <scheme val="minor"/>
    </font>
    <font>
      <u val="singleAccounting"/>
      <sz val="11"/>
      <name val="Times New Roman"/>
      <family val="1"/>
      <scheme val="minor"/>
    </font>
    <font>
      <i/>
      <sz val="11"/>
      <name val="Times New Roman"/>
      <family val="1"/>
      <scheme val="minor"/>
    </font>
    <font>
      <sz val="12"/>
      <color rgb="FFFF0000"/>
      <name val="Times New Roman"/>
      <family val="1"/>
      <scheme val="minor"/>
    </font>
    <font>
      <b/>
      <i/>
      <u/>
      <sz val="10"/>
      <color theme="1"/>
      <name val="Times New Roman"/>
      <family val="1"/>
      <scheme val="minor"/>
    </font>
    <font>
      <sz val="11"/>
      <color rgb="FFC00000"/>
      <name val="Times New Roman"/>
      <family val="1"/>
      <scheme val="minor"/>
    </font>
    <font>
      <b/>
      <u val="singleAccounting"/>
      <sz val="11"/>
      <name val="Times New Roman"/>
      <family val="1"/>
      <scheme val="minor"/>
    </font>
    <font>
      <b/>
      <i/>
      <sz val="14"/>
      <color theme="1"/>
      <name val="Times New Roman"/>
      <family val="1"/>
      <scheme val="minor"/>
    </font>
    <font>
      <b/>
      <sz val="9"/>
      <color rgb="FF323232"/>
      <name val="Times New Roman"/>
      <family val="1"/>
      <scheme val="minor"/>
    </font>
    <font>
      <sz val="8"/>
      <color theme="1"/>
      <name val="Times New Roman"/>
      <family val="1"/>
      <scheme val="minor"/>
    </font>
    <font>
      <sz val="9"/>
      <color rgb="FF323232"/>
      <name val="Times New Roman"/>
      <family val="1"/>
      <scheme val="minor"/>
    </font>
    <font>
      <u val="singleAccounting"/>
      <sz val="11"/>
      <color theme="1"/>
      <name val="Times New Roman"/>
      <family val="2"/>
      <scheme val="minor"/>
    </font>
    <font>
      <sz val="10"/>
      <name val="Times New Roman"/>
      <family val="1"/>
      <scheme val="minor"/>
    </font>
    <font>
      <b/>
      <sz val="10"/>
      <color rgb="FFFFFF00"/>
      <name val="Times New Roman"/>
      <family val="1"/>
      <scheme val="minor"/>
    </font>
    <font>
      <b/>
      <u val="singleAccounting"/>
      <sz val="11"/>
      <color rgb="FF0070C0"/>
      <name val="Times New Roman"/>
      <family val="2"/>
      <scheme val="minor"/>
    </font>
    <font>
      <b/>
      <u val="singleAccounting"/>
      <sz val="14"/>
      <color rgb="FFFF0000"/>
      <name val="Times New Roman"/>
      <family val="2"/>
      <scheme val="minor"/>
    </font>
    <font>
      <b/>
      <u val="singleAccounting"/>
      <sz val="11"/>
      <color theme="1"/>
      <name val="Times New Roman"/>
      <family val="1"/>
      <scheme val="minor"/>
    </font>
    <font>
      <u val="singleAccounting"/>
      <sz val="11"/>
      <color theme="1"/>
      <name val="Times New Roman"/>
      <family val="1"/>
      <scheme val="minor"/>
    </font>
    <font>
      <b/>
      <sz val="11"/>
      <color theme="3" tint="0.39997558519241921"/>
      <name val="Times New Roman"/>
      <family val="1"/>
      <scheme val="minor"/>
    </font>
    <font>
      <b/>
      <sz val="12"/>
      <color theme="3" tint="0.39997558519241921"/>
      <name val="Times New Roman"/>
      <family val="2"/>
      <scheme val="minor"/>
    </font>
    <font>
      <b/>
      <i/>
      <sz val="14"/>
      <name val="Times New Roman"/>
      <family val="1"/>
      <scheme val="minor"/>
    </font>
    <font>
      <b/>
      <i/>
      <sz val="14"/>
      <color rgb="FFFF0000"/>
      <name val="Times New Roman"/>
      <family val="1"/>
      <scheme val="minor"/>
    </font>
    <font>
      <b/>
      <u val="singleAccounting"/>
      <sz val="12"/>
      <name val="Times New Roman"/>
      <family val="1"/>
      <scheme val="minor"/>
    </font>
    <font>
      <sz val="12"/>
      <color rgb="FFC00000"/>
      <name val="Times New Roman"/>
      <family val="1"/>
      <scheme val="minor"/>
    </font>
    <font>
      <b/>
      <sz val="12"/>
      <color theme="4" tint="-0.249977111117893"/>
      <name val="Times New Roman"/>
      <family val="1"/>
      <scheme val="minor"/>
    </font>
    <font>
      <b/>
      <u val="singleAccounting"/>
      <sz val="14"/>
      <color rgb="FFC00000"/>
      <name val="Times New Roman"/>
      <family val="1"/>
      <scheme val="minor"/>
    </font>
    <font>
      <b/>
      <u val="singleAccounting"/>
      <sz val="11"/>
      <color rgb="FFC00000"/>
      <name val="Times New Roman"/>
      <family val="1"/>
      <scheme val="minor"/>
    </font>
    <font>
      <b/>
      <u val="doubleAccounting"/>
      <sz val="11"/>
      <color rgb="FFC00000"/>
      <name val="Times New Roman"/>
      <family val="1"/>
      <scheme val="minor"/>
    </font>
    <font>
      <b/>
      <u val="doubleAccounting"/>
      <sz val="10"/>
      <color rgb="FFC00000"/>
      <name val="Times New Roman"/>
      <family val="1"/>
      <scheme val="minor"/>
    </font>
    <font>
      <b/>
      <u val="doubleAccounting"/>
      <sz val="14"/>
      <color rgb="FFC00000"/>
      <name val="Times New Roman"/>
      <family val="1"/>
      <scheme val="minor"/>
    </font>
    <font>
      <b/>
      <i/>
      <sz val="14"/>
      <color rgb="FFC00000"/>
      <name val="Times New Roman"/>
      <family val="1"/>
      <scheme val="minor"/>
    </font>
    <font>
      <i/>
      <u val="singleAccounting"/>
      <sz val="11"/>
      <name val="Times New Roman"/>
      <family val="1"/>
      <scheme val="minor"/>
    </font>
    <font>
      <b/>
      <u/>
      <sz val="18"/>
      <color rgb="FFFF0000"/>
      <name val="Times New Roman"/>
      <family val="1"/>
      <scheme val="minor"/>
    </font>
    <font>
      <b/>
      <u/>
      <sz val="10"/>
      <color theme="1"/>
      <name val="Times New Roman"/>
      <family val="1"/>
      <scheme val="minor"/>
    </font>
    <font>
      <b/>
      <u/>
      <sz val="11"/>
      <color theme="1"/>
      <name val="Times New Roman"/>
      <family val="1"/>
      <scheme val="minor"/>
    </font>
    <font>
      <b/>
      <u/>
      <sz val="11"/>
      <name val="Times New Roman"/>
      <family val="1"/>
      <scheme val="minor"/>
    </font>
    <font>
      <b/>
      <u/>
      <sz val="12"/>
      <name val="Times New Roman"/>
      <family val="1"/>
      <scheme val="minor"/>
    </font>
    <font>
      <sz val="16"/>
      <name val="Times New Roman"/>
      <family val="1"/>
      <scheme val="minor"/>
    </font>
    <font>
      <b/>
      <sz val="9"/>
      <color rgb="FFC00000"/>
      <name val="Times New Roman"/>
      <family val="1"/>
      <scheme val="minor"/>
    </font>
    <font>
      <b/>
      <sz val="10"/>
      <color rgb="FFC00000"/>
      <name val="Times New Roman"/>
      <family val="1"/>
      <scheme val="minor"/>
    </font>
    <font>
      <b/>
      <i/>
      <sz val="16"/>
      <color rgb="FFC00000"/>
      <name val="Times New Roman"/>
      <family val="1"/>
      <scheme val="minor"/>
    </font>
    <font>
      <b/>
      <sz val="11"/>
      <color rgb="FFC00000"/>
      <name val="Times New Roman"/>
      <family val="1"/>
      <scheme val="minor"/>
    </font>
    <font>
      <sz val="9"/>
      <color rgb="FFC00000"/>
      <name val="Times New Roman"/>
      <family val="1"/>
      <scheme val="minor"/>
    </font>
    <font>
      <b/>
      <u/>
      <sz val="14"/>
      <color rgb="FFFF0000"/>
      <name val="Times New Roman"/>
      <family val="1"/>
      <scheme val="minor"/>
    </font>
    <font>
      <b/>
      <u/>
      <sz val="12"/>
      <color rgb="FFFF0000"/>
      <name val="Times New Roman"/>
      <family val="1"/>
      <scheme val="minor"/>
    </font>
    <font>
      <b/>
      <u/>
      <sz val="11"/>
      <color rgb="FFFF0000"/>
      <name val="Times New Roman"/>
      <family val="1"/>
      <scheme val="minor"/>
    </font>
    <font>
      <sz val="14"/>
      <name val="Times New Roman"/>
      <family val="1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fgColor theme="0"/>
      </patternFill>
    </fill>
    <fill>
      <patternFill patternType="gray0625">
        <fgColor theme="0"/>
        <bgColor theme="0" tint="-4.9989318521683403E-2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5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auto="1"/>
      </left>
      <right/>
      <top style="dashDotDot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rgb="FFFF0000"/>
      </bottom>
      <diagonal/>
    </border>
    <border>
      <left/>
      <right style="medium">
        <color auto="1"/>
      </right>
      <top style="medium">
        <color auto="1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n">
        <color auto="1"/>
      </left>
      <right/>
      <top style="medium">
        <color auto="1"/>
      </top>
      <bottom style="thin">
        <color rgb="FFFF0000"/>
      </bottom>
      <diagonal/>
    </border>
    <border>
      <left/>
      <right style="thin">
        <color auto="1"/>
      </right>
      <top style="medium">
        <color auto="1"/>
      </top>
      <bottom style="thin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rgb="FFFF0000"/>
      </bottom>
      <diagonal/>
    </border>
    <border>
      <left style="medium">
        <color auto="1"/>
      </left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/>
      <right style="medium">
        <color auto="1"/>
      </right>
      <top style="thick">
        <color theme="3" tint="0.39994506668294322"/>
      </top>
      <bottom style="thick">
        <color theme="3" tint="0.39994506668294322"/>
      </bottom>
      <diagonal/>
    </border>
    <border>
      <left/>
      <right/>
      <top style="thin">
        <color auto="1"/>
      </top>
      <bottom style="thin">
        <color rgb="FFFF0000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ashDotDot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/>
      <bottom style="thin">
        <color rgb="FFFF0000"/>
      </bottom>
      <diagonal/>
    </border>
    <border>
      <left style="medium">
        <color auto="1"/>
      </left>
      <right/>
      <top/>
      <bottom style="thin">
        <color rgb="FFFF0000"/>
      </bottom>
      <diagonal/>
    </border>
    <border>
      <left/>
      <right style="double">
        <color auto="1"/>
      </right>
      <top/>
      <bottom/>
      <diagonal/>
    </border>
    <border>
      <left/>
      <right style="medium">
        <color auto="1"/>
      </right>
      <top/>
      <bottom style="thin">
        <color rgb="FFFF0000"/>
      </bottom>
      <diagonal/>
    </border>
    <border>
      <left style="thin">
        <color auto="1"/>
      </left>
      <right style="medium">
        <color auto="1"/>
      </right>
      <top style="thin">
        <color rgb="FFFF0000"/>
      </top>
      <bottom/>
      <diagonal/>
    </border>
    <border>
      <left/>
      <right style="thin">
        <color auto="1"/>
      </right>
      <top style="thin">
        <color rgb="FFFF0000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 style="dashDot">
        <color auto="1"/>
      </left>
      <right/>
      <top style="dashDot">
        <color auto="1"/>
      </top>
      <bottom/>
      <diagonal/>
    </border>
    <border>
      <left style="thin">
        <color rgb="FFFF0000"/>
      </left>
      <right style="thin">
        <color auto="1"/>
      </right>
      <top/>
      <bottom/>
      <diagonal/>
    </border>
    <border>
      <left style="thin">
        <color rgb="FFFF0000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dashDot">
        <color auto="1"/>
      </right>
      <top/>
      <bottom style="medium">
        <color auto="1"/>
      </bottom>
      <diagonal/>
    </border>
    <border>
      <left style="dashDot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medium">
        <color auto="1"/>
      </bottom>
      <diagonal/>
    </border>
    <border>
      <left style="thin">
        <color auto="1"/>
      </left>
      <right/>
      <top style="dotted">
        <color indexed="64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rgb="FFFF0000"/>
      </right>
      <top/>
      <bottom style="medium">
        <color auto="1"/>
      </bottom>
      <diagonal/>
    </border>
    <border>
      <left style="thin">
        <color rgb="FFFF000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rgb="FFFF0000"/>
      </right>
      <top style="medium">
        <color auto="1"/>
      </top>
      <bottom/>
      <diagonal/>
    </border>
    <border>
      <left style="thin">
        <color rgb="FFFF0000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indexed="64"/>
      </top>
      <bottom style="medium">
        <color auto="1"/>
      </bottom>
      <diagonal/>
    </border>
    <border>
      <left/>
      <right/>
      <top style="dotted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dashDot">
        <color indexed="64"/>
      </top>
      <bottom style="dotted">
        <color indexed="64"/>
      </bottom>
      <diagonal/>
    </border>
    <border>
      <left/>
      <right/>
      <top style="dashDot">
        <color indexed="64"/>
      </top>
      <bottom style="dotted">
        <color indexed="64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/>
      <right style="thin">
        <color auto="1"/>
      </right>
      <top style="dotted">
        <color indexed="64"/>
      </top>
      <bottom style="thick">
        <color auto="1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n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/>
      <right style="thin">
        <color auto="1"/>
      </right>
      <top style="thick">
        <color indexed="64"/>
      </top>
      <bottom style="dotted">
        <color indexed="64"/>
      </bottom>
      <diagonal/>
    </border>
    <border>
      <left style="thin">
        <color auto="1"/>
      </left>
      <right/>
      <top style="thick">
        <color indexed="64"/>
      </top>
      <bottom style="dotted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/>
      <right/>
      <top style="dashDotDot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dashDotDot">
        <color auto="1"/>
      </bottom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dotted">
        <color auto="1"/>
      </bottom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 style="dashDotDot">
        <color auto="1"/>
      </bottom>
      <diagonal/>
    </border>
    <border>
      <left style="medium">
        <color auto="1"/>
      </left>
      <right style="thin">
        <color auto="1"/>
      </right>
      <top/>
      <bottom style="dashDotDot">
        <color auto="1"/>
      </bottom>
      <diagonal/>
    </border>
    <border>
      <left style="thin">
        <color auto="1"/>
      </left>
      <right style="medium">
        <color auto="1"/>
      </right>
      <top/>
      <bottom style="dashDotDot">
        <color auto="1"/>
      </bottom>
      <diagonal/>
    </border>
    <border>
      <left/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/>
      <top/>
      <bottom style="mediumDashed">
        <color auto="1"/>
      </bottom>
      <diagonal/>
    </border>
    <border>
      <left style="mediumDashed">
        <color auto="1"/>
      </left>
      <right style="thin">
        <color auto="1"/>
      </right>
      <top style="mediumDashed">
        <color auto="1"/>
      </top>
      <bottom style="dashDotDot">
        <color auto="1"/>
      </bottom>
      <diagonal/>
    </border>
    <border>
      <left style="medium">
        <color auto="1"/>
      </left>
      <right/>
      <top style="mediumDashed">
        <color auto="1"/>
      </top>
      <bottom/>
      <diagonal/>
    </border>
    <border>
      <left style="thin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/>
      <top style="mediumDashed">
        <color auto="1"/>
      </top>
      <bottom style="dashDotDot">
        <color auto="1"/>
      </bottom>
      <diagonal/>
    </border>
    <border>
      <left/>
      <right style="thin">
        <color auto="1"/>
      </right>
      <top style="mediumDashed">
        <color auto="1"/>
      </top>
      <bottom style="dashDotDot">
        <color auto="1"/>
      </bottom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 style="mediumDashed">
        <color auto="1"/>
      </left>
      <right/>
      <top/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thin">
        <color rgb="FFFF0000"/>
      </bottom>
      <diagonal/>
    </border>
    <border>
      <left/>
      <right style="mediumDashed">
        <color auto="1"/>
      </right>
      <top style="medium">
        <color auto="1"/>
      </top>
      <bottom style="thin">
        <color rgb="FFFF0000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/>
      <right style="mediumDashed">
        <color auto="1"/>
      </right>
      <top/>
      <bottom style="medium">
        <color auto="1"/>
      </bottom>
      <diagonal/>
    </border>
    <border>
      <left style="thin">
        <color auto="1"/>
      </left>
      <right style="mediumDashed">
        <color auto="1"/>
      </right>
      <top/>
      <bottom/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 style="mediumDashed">
        <color auto="1"/>
      </left>
      <right style="medium">
        <color auto="1"/>
      </right>
      <top style="thick">
        <color theme="6" tint="-0.499984740745262"/>
      </top>
      <bottom style="thick">
        <color theme="6" tint="-0.499984740745262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Dashed">
        <color auto="1"/>
      </left>
      <right/>
      <top/>
      <bottom style="dotted">
        <color auto="1"/>
      </bottom>
      <diagonal/>
    </border>
    <border>
      <left/>
      <right/>
      <top style="thin">
        <color rgb="FFFF0000"/>
      </top>
      <bottom/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rgb="FFFF0000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rgb="FFFF0000"/>
      </left>
      <right/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dashDotDot">
        <color auto="1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auto="1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rgb="FFFF0000"/>
      </top>
      <bottom style="thin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">
        <color auto="1"/>
      </right>
      <top/>
      <bottom style="mediumDashDot">
        <color auto="1"/>
      </bottom>
      <diagonal/>
    </border>
    <border>
      <left style="thick">
        <color rgb="FFFF0000"/>
      </left>
      <right/>
      <top style="thick">
        <color auto="1"/>
      </top>
      <bottom/>
      <diagonal/>
    </border>
    <border>
      <left/>
      <right style="thick">
        <color rgb="FFFF0000"/>
      </right>
      <top style="thick">
        <color auto="1"/>
      </top>
      <bottom/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/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ck">
        <color auto="1"/>
      </top>
      <bottom style="thick">
        <color rgb="FFFF0000"/>
      </bottom>
      <diagonal/>
    </border>
    <border>
      <left/>
      <right style="thick">
        <color auto="1"/>
      </right>
      <top style="thick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mediumDashed">
        <color auto="1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n">
        <color rgb="FFFF0000"/>
      </top>
      <bottom style="dotted">
        <color auto="1"/>
      </bottom>
      <diagonal/>
    </border>
    <border>
      <left/>
      <right/>
      <top style="dotted">
        <color indexed="64"/>
      </top>
      <bottom style="dashDot">
        <color indexed="64"/>
      </bottom>
      <diagonal/>
    </border>
    <border>
      <left style="thin">
        <color auto="1"/>
      </left>
      <right/>
      <top style="dotted">
        <color indexed="64"/>
      </top>
      <bottom style="dashDot">
        <color indexed="64"/>
      </bottom>
      <diagonal/>
    </border>
    <border>
      <left/>
      <right style="medium">
        <color auto="1"/>
      </right>
      <top style="dashDot">
        <color indexed="64"/>
      </top>
      <bottom style="dotted">
        <color indexed="64"/>
      </bottom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ck">
        <color rgb="FFFF0000"/>
      </top>
      <bottom style="thin">
        <color auto="1"/>
      </bottom>
      <diagonal/>
    </border>
    <border>
      <left style="dashDotDot">
        <color auto="1"/>
      </left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medium">
        <color auto="1"/>
      </left>
      <right style="dashDotDot">
        <color auto="1"/>
      </right>
      <top/>
      <bottom style="medium">
        <color auto="1"/>
      </bottom>
      <diagonal/>
    </border>
    <border>
      <left style="dashDotDot">
        <color auto="1"/>
      </left>
      <right/>
      <top/>
      <bottom style="dashDotDot">
        <color auto="1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rgb="FFFF0000"/>
      </left>
      <right style="thin">
        <color auto="1"/>
      </right>
      <top/>
      <bottom style="thick">
        <color rgb="FFFF0000"/>
      </bottom>
      <diagonal/>
    </border>
    <border>
      <left style="thin">
        <color indexed="64"/>
      </left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/>
      <right style="medium">
        <color auto="1"/>
      </right>
      <top/>
      <bottom style="mediumDashed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rgb="FFFF0000"/>
      </bottom>
      <diagonal/>
    </border>
    <border>
      <left style="medium">
        <color auto="1"/>
      </left>
      <right/>
      <top style="mediumDashed">
        <color auto="1"/>
      </top>
      <bottom style="mediumDashed">
        <color auto="1"/>
      </bottom>
      <diagonal/>
    </border>
    <border>
      <left/>
      <right style="medium">
        <color auto="1"/>
      </right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ck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 style="thick">
        <color auto="1"/>
      </right>
      <top style="mediumDashed">
        <color auto="1"/>
      </top>
      <bottom style="thick">
        <color auto="1"/>
      </bottom>
      <diagonal/>
    </border>
    <border>
      <left/>
      <right/>
      <top/>
      <bottom style="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mediumDashed">
        <color auto="1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auto="1"/>
      </left>
      <right style="thin">
        <color auto="1"/>
      </right>
      <top/>
      <bottom style="mediumDashed">
        <color auto="1"/>
      </bottom>
      <diagonal/>
    </border>
    <border>
      <left style="thin">
        <color auto="1"/>
      </left>
      <right/>
      <top/>
      <bottom style="mediumDashed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DashDotDot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DashDotDot">
        <color auto="1"/>
      </bottom>
      <diagonal/>
    </border>
    <border>
      <left style="thin">
        <color auto="1"/>
      </left>
      <right/>
      <top style="thick">
        <color auto="1"/>
      </top>
      <bottom style="mediumDashDotDot">
        <color auto="1"/>
      </bottom>
      <diagonal/>
    </border>
    <border>
      <left/>
      <right style="thick">
        <color auto="1"/>
      </right>
      <top style="thick">
        <color auto="1"/>
      </top>
      <bottom style="mediumDashDotDot">
        <color auto="1"/>
      </bottom>
      <diagonal/>
    </border>
    <border>
      <left style="thick">
        <color indexed="64"/>
      </left>
      <right style="thin">
        <color indexed="64"/>
      </right>
      <top style="mediumDashDotDot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auto="1"/>
      </top>
      <bottom style="hair">
        <color indexed="64"/>
      </bottom>
      <diagonal/>
    </border>
    <border>
      <left style="thin">
        <color auto="1"/>
      </left>
      <right/>
      <top style="mediumDashDotDot">
        <color auto="1"/>
      </top>
      <bottom style="hair">
        <color indexed="64"/>
      </bottom>
      <diagonal/>
    </border>
    <border>
      <left/>
      <right style="double">
        <color indexed="64"/>
      </right>
      <top style="mediumDashDotDot">
        <color auto="1"/>
      </top>
      <bottom style="hair">
        <color indexed="64"/>
      </bottom>
      <diagonal/>
    </border>
    <border>
      <left style="thick">
        <color indexed="64"/>
      </left>
      <right style="thin">
        <color auto="1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DotDot">
        <color indexed="64"/>
      </bottom>
      <diagonal/>
    </border>
    <border>
      <left style="thin">
        <color auto="1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/>
      <top style="dashed">
        <color auto="1"/>
      </top>
      <bottom style="double">
        <color auto="1"/>
      </bottom>
      <diagonal/>
    </border>
    <border>
      <left/>
      <right/>
      <top style="dashed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 style="mediumDashDotDot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mediumDashed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/>
      <top style="hair">
        <color auto="1"/>
      </top>
      <bottom style="mediumDashed">
        <color auto="1"/>
      </bottom>
      <diagonal/>
    </border>
    <border>
      <left/>
      <right/>
      <top style="hair">
        <color auto="1"/>
      </top>
      <bottom style="mediumDashed">
        <color auto="1"/>
      </bottom>
      <diagonal/>
    </border>
    <border>
      <left/>
      <right style="double">
        <color auto="1"/>
      </right>
      <top style="hair">
        <color auto="1"/>
      </top>
      <bottom style="medium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/>
      <right style="thin">
        <color auto="1"/>
      </right>
      <top style="dashed">
        <color auto="1"/>
      </top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double">
        <color auto="1"/>
      </top>
      <bottom/>
      <diagonal/>
    </border>
    <border>
      <left style="thick">
        <color auto="1"/>
      </left>
      <right style="thin">
        <color indexed="64"/>
      </right>
      <top style="mediumDashed">
        <color auto="1"/>
      </top>
      <bottom style="mediumDashDotDot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DashDotDot">
        <color auto="1"/>
      </bottom>
      <diagonal/>
    </border>
    <border>
      <left style="thin">
        <color auto="1"/>
      </left>
      <right/>
      <top style="mediumDashed">
        <color auto="1"/>
      </top>
      <bottom style="mediumDashDotDot">
        <color auto="1"/>
      </bottom>
      <diagonal/>
    </border>
    <border>
      <left/>
      <right style="double">
        <color indexed="64"/>
      </right>
      <top style="mediumDashed">
        <color auto="1"/>
      </top>
      <bottom style="mediumDashDotDot">
        <color auto="1"/>
      </bottom>
      <diagonal/>
    </border>
    <border>
      <left style="double">
        <color indexed="64"/>
      </left>
      <right style="double">
        <color indexed="64"/>
      </right>
      <top style="thick">
        <color auto="1"/>
      </top>
      <bottom style="double">
        <color indexed="64"/>
      </bottom>
      <diagonal/>
    </border>
    <border>
      <left style="thin">
        <color auto="1"/>
      </left>
      <right/>
      <top style="thick">
        <color rgb="FFFF0000"/>
      </top>
      <bottom style="mediumDashDotDot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indexed="64"/>
      </left>
      <right style="thick">
        <color auto="1"/>
      </right>
      <top style="thick">
        <color indexed="64"/>
      </top>
      <bottom style="mediumDashDotDot">
        <color auto="1"/>
      </bottom>
      <diagonal/>
    </border>
    <border>
      <left/>
      <right style="thick">
        <color indexed="64"/>
      </right>
      <top/>
      <bottom style="mediumDashDotDot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ck">
        <color auto="1"/>
      </right>
      <top/>
      <bottom style="mediumDashed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Dashed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auto="1"/>
      </left>
      <right/>
      <top style="mediumDashed">
        <color auto="1"/>
      </top>
      <bottom style="mediumDashed">
        <color auto="1"/>
      </bottom>
      <diagonal/>
    </border>
    <border>
      <left style="double">
        <color indexed="64"/>
      </left>
      <right style="double">
        <color indexed="64"/>
      </right>
      <top/>
      <bottom style="mediumDashed">
        <color indexed="64"/>
      </bottom>
      <diagonal/>
    </border>
    <border>
      <left style="thin">
        <color auto="1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auto="1"/>
      </left>
      <right style="thin">
        <color indexed="64"/>
      </right>
      <top style="hair">
        <color indexed="64"/>
      </top>
      <bottom style="thick">
        <color auto="1"/>
      </bottom>
      <diagonal/>
    </border>
    <border>
      <left/>
      <right/>
      <top style="hair">
        <color indexed="64"/>
      </top>
      <bottom style="thick">
        <color auto="1"/>
      </bottom>
      <diagonal/>
    </border>
    <border>
      <left style="thin">
        <color auto="1"/>
      </left>
      <right/>
      <top style="thick">
        <color theme="6" tint="-0.499984740745262"/>
      </top>
      <bottom/>
      <diagonal/>
    </border>
    <border>
      <left/>
      <right/>
      <top style="thick">
        <color theme="6" tint="-0.499984740745262"/>
      </top>
      <bottom/>
      <diagonal/>
    </border>
    <border>
      <left/>
      <right style="thin">
        <color auto="1"/>
      </right>
      <top style="thick">
        <color rgb="FFC00000"/>
      </top>
      <bottom/>
      <diagonal/>
    </border>
    <border>
      <left/>
      <right style="thick">
        <color theme="6" tint="-0.499984740745262"/>
      </right>
      <top style="thick">
        <color rgb="FFC00000"/>
      </top>
      <bottom style="thick">
        <color rgb="FFC00000"/>
      </bottom>
      <diagonal/>
    </border>
    <border>
      <left/>
      <right style="thin">
        <color auto="1"/>
      </right>
      <top/>
      <bottom style="mediumDashed">
        <color auto="1"/>
      </bottom>
      <diagonal/>
    </border>
    <border>
      <left style="medium">
        <color auto="1"/>
      </left>
      <right/>
      <top/>
      <bottom style="mediumDashed">
        <color auto="1"/>
      </bottom>
      <diagonal/>
    </border>
    <border>
      <left style="mediumDashed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Dashed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theme="6" tint="-0.499984740745262"/>
      </top>
      <bottom/>
      <diagonal/>
    </border>
    <border>
      <left style="mediumDashed">
        <color auto="1"/>
      </left>
      <right/>
      <top/>
      <bottom style="thick">
        <color theme="6" tint="-0.499984740745262"/>
      </bottom>
      <diagonal/>
    </border>
    <border>
      <left/>
      <right style="medium">
        <color auto="1"/>
      </right>
      <top/>
      <bottom style="thick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/>
      <top/>
      <bottom/>
      <diagonal/>
    </border>
    <border>
      <left/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/>
      <bottom style="medium">
        <color theme="6" tint="-0.499984740745262"/>
      </bottom>
      <diagonal/>
    </border>
    <border>
      <left/>
      <right style="dotted">
        <color auto="1"/>
      </right>
      <top style="medium">
        <color auto="1"/>
      </top>
      <bottom/>
      <diagonal/>
    </border>
    <border>
      <left/>
      <right style="dotted">
        <color auto="1"/>
      </right>
      <top/>
      <bottom style="medium">
        <color auto="1"/>
      </bottom>
      <diagonal/>
    </border>
    <border>
      <left style="medium">
        <color auto="1"/>
      </left>
      <right style="mediumDashed">
        <color auto="1"/>
      </right>
      <top/>
      <bottom style="thin">
        <color auto="1"/>
      </bottom>
      <diagonal/>
    </border>
    <border>
      <left style="medium">
        <color auto="1"/>
      </left>
      <right style="mediumDashed">
        <color auto="1"/>
      </right>
      <top style="thin">
        <color auto="1"/>
      </top>
      <bottom/>
      <diagonal/>
    </border>
    <border>
      <left style="medium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Dashed">
        <color auto="1"/>
      </bottom>
      <diagonal/>
    </border>
    <border>
      <left style="medium">
        <color auto="1"/>
      </left>
      <right style="thin">
        <color auto="1"/>
      </right>
      <top/>
      <bottom style="mediumDashed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Dashed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Dashed">
        <color auto="1"/>
      </bottom>
      <diagonal/>
    </border>
    <border>
      <left/>
      <right style="medium">
        <color auto="1"/>
      </right>
      <top style="hair">
        <color auto="1"/>
      </top>
      <bottom style="mediumDashed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Dashed">
        <color auto="1"/>
      </bottom>
      <diagonal/>
    </border>
    <border>
      <left/>
      <right style="mediumDashDotDot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/>
      <right style="mediumDashDotDot">
        <color auto="1"/>
      </right>
      <top style="hair">
        <color indexed="64"/>
      </top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/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 style="mediumDashed">
        <color auto="1"/>
      </left>
      <right/>
      <top style="medium">
        <color theme="6" tint="-0.499984740745262"/>
      </top>
      <bottom style="thick">
        <color theme="6" tint="-0.499984740745262"/>
      </bottom>
      <diagonal/>
    </border>
    <border>
      <left/>
      <right style="medium">
        <color auto="1"/>
      </right>
      <top style="medium">
        <color theme="6" tint="-0.499984740745262"/>
      </top>
      <bottom style="thick">
        <color theme="6" tint="-0.499984740745262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/>
      <top/>
      <bottom style="thick">
        <color rgb="FFFF0000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  <border>
      <left style="thin">
        <color auto="1"/>
      </left>
      <right/>
      <top style="mediumDashed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ck">
        <color auto="1"/>
      </right>
      <top style="medium">
        <color auto="1"/>
      </top>
      <bottom style="thick">
        <color rgb="FFFF0000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thick">
        <color rgb="FFFF0000"/>
      </bottom>
      <diagonal/>
    </border>
    <border>
      <left style="thin">
        <color auto="1"/>
      </left>
      <right/>
      <top style="medium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Dot">
        <color auto="1"/>
      </bottom>
      <diagonal/>
    </border>
    <border>
      <left style="thin">
        <color auto="1"/>
      </left>
      <right/>
      <top style="thick">
        <color auto="1"/>
      </top>
      <bottom style="dashDot">
        <color auto="1"/>
      </bottom>
      <diagonal/>
    </border>
    <border>
      <left/>
      <right style="thick">
        <color auto="1"/>
      </right>
      <top style="thick">
        <color auto="1"/>
      </top>
      <bottom style="dashDot">
        <color auto="1"/>
      </bottom>
      <diagonal/>
    </border>
    <border>
      <left/>
      <right/>
      <top style="mediumDashed">
        <color auto="1"/>
      </top>
      <bottom style="mediumDashDotDot">
        <color auto="1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dotted">
        <color indexed="64"/>
      </bottom>
      <diagonal/>
    </border>
    <border>
      <left style="thick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ck">
        <color auto="1"/>
      </right>
      <top style="dotted">
        <color indexed="64"/>
      </top>
      <bottom style="dotted">
        <color indexed="64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indexed="64"/>
      </left>
      <right style="thick">
        <color auto="1"/>
      </right>
      <top style="medium">
        <color auto="1"/>
      </top>
      <bottom style="dashDot">
        <color indexed="64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ashDot">
        <color indexed="64"/>
      </bottom>
      <diagonal/>
    </border>
    <border>
      <left style="thin">
        <color auto="1"/>
      </left>
      <right/>
      <top style="medium">
        <color auto="1"/>
      </top>
      <bottom style="dashDot">
        <color indexed="64"/>
      </bottom>
      <diagonal/>
    </border>
    <border>
      <left/>
      <right style="thick">
        <color indexed="64"/>
      </right>
      <top style="medium">
        <color auto="1"/>
      </top>
      <bottom style="dashDot">
        <color indexed="64"/>
      </bottom>
      <diagonal/>
    </border>
    <border>
      <left/>
      <right style="medium">
        <color auto="1"/>
      </right>
      <top/>
      <bottom style="dashDot">
        <color auto="1"/>
      </bottom>
      <diagonal/>
    </border>
    <border>
      <left style="thin">
        <color auto="1"/>
      </left>
      <right/>
      <top/>
      <bottom style="mediumDashed">
        <color rgb="FFFF0000"/>
      </bottom>
      <diagonal/>
    </border>
    <border>
      <left style="thin">
        <color auto="1"/>
      </left>
      <right/>
      <top style="thin">
        <color rgb="FFFF0000"/>
      </top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/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</borders>
  <cellStyleXfs count="4">
    <xf numFmtId="0" fontId="0" fillId="0" borderId="0"/>
    <xf numFmtId="16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</cellStyleXfs>
  <cellXfs count="4546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3" fillId="0" borderId="0" xfId="0" applyFont="1"/>
    <xf numFmtId="0" fontId="6" fillId="0" borderId="0" xfId="0" applyFont="1"/>
    <xf numFmtId="0" fontId="6" fillId="0" borderId="0" xfId="0" applyFont="1" applyBorder="1"/>
    <xf numFmtId="0" fontId="0" fillId="0" borderId="0" xfId="0" applyFill="1" applyBorder="1"/>
    <xf numFmtId="0" fontId="9" fillId="0" borderId="0" xfId="0" applyFont="1"/>
    <xf numFmtId="0" fontId="8" fillId="2" borderId="0" xfId="0" applyFont="1" applyFill="1"/>
    <xf numFmtId="0" fontId="0" fillId="0" borderId="11" xfId="0" applyBorder="1"/>
    <xf numFmtId="0" fontId="0" fillId="0" borderId="21" xfId="0" applyBorder="1"/>
    <xf numFmtId="0" fontId="0" fillId="0" borderId="18" xfId="0" applyBorder="1"/>
    <xf numFmtId="0" fontId="0" fillId="0" borderId="19" xfId="0" applyBorder="1"/>
    <xf numFmtId="0" fontId="0" fillId="0" borderId="23" xfId="0" applyBorder="1"/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6" fontId="0" fillId="0" borderId="18" xfId="0" applyNumberFormat="1" applyBorder="1"/>
    <xf numFmtId="166" fontId="0" fillId="0" borderId="19" xfId="0" applyNumberFormat="1" applyBorder="1"/>
    <xf numFmtId="166" fontId="0" fillId="0" borderId="20" xfId="0" applyNumberFormat="1" applyBorder="1"/>
    <xf numFmtId="0" fontId="0" fillId="0" borderId="5" xfId="0" applyBorder="1" applyAlignment="1">
      <alignment horizontal="center" vertical="center"/>
    </xf>
    <xf numFmtId="0" fontId="0" fillId="0" borderId="22" xfId="0" applyBorder="1"/>
    <xf numFmtId="0" fontId="10" fillId="0" borderId="5" xfId="0" applyFont="1" applyBorder="1"/>
    <xf numFmtId="0" fontId="0" fillId="0" borderId="5" xfId="0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66" fontId="0" fillId="0" borderId="23" xfId="0" applyNumberFormat="1" applyBorder="1"/>
    <xf numFmtId="0" fontId="0" fillId="0" borderId="24" xfId="0" applyBorder="1"/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/>
    </xf>
    <xf numFmtId="0" fontId="0" fillId="0" borderId="0" xfId="0" applyAlignment="1"/>
    <xf numFmtId="0" fontId="13" fillId="0" borderId="0" xfId="0" applyFont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43" fontId="0" fillId="0" borderId="18" xfId="0" applyNumberFormat="1" applyBorder="1"/>
    <xf numFmtId="43" fontId="0" fillId="0" borderId="19" xfId="0" applyNumberFormat="1" applyBorder="1"/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/>
    <xf numFmtId="43" fontId="0" fillId="0" borderId="0" xfId="0" applyNumberFormat="1"/>
    <xf numFmtId="43" fontId="0" fillId="0" borderId="0" xfId="0" applyNumberFormat="1" applyBorder="1"/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0" xfId="1" applyFont="1" applyBorder="1"/>
    <xf numFmtId="0" fontId="17" fillId="0" borderId="8" xfId="0" applyFont="1" applyBorder="1" applyAlignment="1">
      <alignment horizontal="center"/>
    </xf>
    <xf numFmtId="0" fontId="17" fillId="0" borderId="7" xfId="0" applyFont="1" applyBorder="1" applyAlignment="1">
      <alignment horizontal="left"/>
    </xf>
    <xf numFmtId="164" fontId="0" fillId="0" borderId="0" xfId="0" applyNumberFormat="1" applyBorder="1"/>
    <xf numFmtId="49" fontId="0" fillId="0" borderId="0" xfId="1" applyNumberFormat="1" applyFont="1" applyBorder="1"/>
    <xf numFmtId="0" fontId="17" fillId="0" borderId="0" xfId="0" applyFont="1"/>
    <xf numFmtId="0" fontId="0" fillId="0" borderId="40" xfId="0" applyBorder="1"/>
    <xf numFmtId="0" fontId="0" fillId="0" borderId="46" xfId="0" applyBorder="1"/>
    <xf numFmtId="0" fontId="0" fillId="0" borderId="53" xfId="0" applyBorder="1"/>
    <xf numFmtId="0" fontId="1" fillId="0" borderId="0" xfId="0" applyFont="1" applyBorder="1" applyAlignment="1">
      <alignment horizontal="center"/>
    </xf>
    <xf numFmtId="0" fontId="0" fillId="0" borderId="0" xfId="0" applyFont="1" applyBorder="1"/>
    <xf numFmtId="0" fontId="1" fillId="0" borderId="38" xfId="0" applyFont="1" applyBorder="1" applyAlignment="1">
      <alignment horizontal="center"/>
    </xf>
    <xf numFmtId="0" fontId="0" fillId="0" borderId="38" xfId="0" applyBorder="1"/>
    <xf numFmtId="0" fontId="1" fillId="0" borderId="0" xfId="0" applyFont="1" applyFill="1" applyBorder="1" applyAlignment="1">
      <alignment horizontal="center"/>
    </xf>
    <xf numFmtId="43" fontId="0" fillId="0" borderId="0" xfId="0" applyNumberFormat="1" applyBorder="1" applyAlignment="1">
      <alignment vertical="center"/>
    </xf>
    <xf numFmtId="164" fontId="18" fillId="0" borderId="37" xfId="1" applyFont="1" applyBorder="1"/>
    <xf numFmtId="0" fontId="0" fillId="0" borderId="0" xfId="0" applyBorder="1" applyAlignment="1">
      <alignment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0" xfId="0" applyFont="1" applyFill="1"/>
    <xf numFmtId="0" fontId="0" fillId="0" borderId="75" xfId="0" applyBorder="1"/>
    <xf numFmtId="43" fontId="0" fillId="0" borderId="23" xfId="0" applyNumberFormat="1" applyBorder="1"/>
    <xf numFmtId="0" fontId="14" fillId="0" borderId="1" xfId="0" applyFont="1" applyBorder="1"/>
    <xf numFmtId="0" fontId="14" fillId="0" borderId="1" xfId="0" applyFont="1" applyBorder="1" applyAlignment="1">
      <alignment horizontal="center" vertical="center"/>
    </xf>
    <xf numFmtId="43" fontId="14" fillId="0" borderId="1" xfId="0" applyNumberFormat="1" applyFont="1" applyBorder="1"/>
    <xf numFmtId="0" fontId="14" fillId="0" borderId="5" xfId="0" applyFont="1" applyBorder="1"/>
    <xf numFmtId="0" fontId="24" fillId="0" borderId="0" xfId="0" applyFont="1"/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/>
    <xf numFmtId="9" fontId="6" fillId="0" borderId="1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/>
    <xf numFmtId="0" fontId="10" fillId="0" borderId="9" xfId="0" applyFont="1" applyBorder="1" applyAlignment="1">
      <alignment horizontal="center" vertical="center"/>
    </xf>
    <xf numFmtId="2" fontId="0" fillId="0" borderId="19" xfId="0" applyNumberFormat="1" applyBorder="1"/>
    <xf numFmtId="2" fontId="0" fillId="0" borderId="20" xfId="0" applyNumberFormat="1" applyBorder="1"/>
    <xf numFmtId="2" fontId="0" fillId="0" borderId="0" xfId="0" applyNumberFormat="1" applyAlignment="1">
      <alignment horizontal="center"/>
    </xf>
    <xf numFmtId="0" fontId="0" fillId="0" borderId="19" xfId="0" applyNumberFormat="1" applyBorder="1" applyAlignment="1">
      <alignment horizontal="center" vertical="center"/>
    </xf>
    <xf numFmtId="43" fontId="25" fillId="0" borderId="1" xfId="0" applyNumberFormat="1" applyFont="1" applyBorder="1"/>
    <xf numFmtId="0" fontId="0" fillId="0" borderId="15" xfId="0" applyBorder="1"/>
    <xf numFmtId="0" fontId="0" fillId="10" borderId="15" xfId="0" applyFill="1" applyBorder="1"/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43" fontId="3" fillId="0" borderId="0" xfId="0" applyNumberFormat="1" applyFont="1"/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3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3" fontId="0" fillId="0" borderId="23" xfId="0" applyNumberFormat="1" applyBorder="1" applyAlignment="1">
      <alignment horizontal="center" vertical="center"/>
    </xf>
    <xf numFmtId="43" fontId="0" fillId="0" borderId="40" xfId="0" applyNumberFormat="1" applyBorder="1"/>
    <xf numFmtId="43" fontId="30" fillId="0" borderId="0" xfId="0" applyNumberFormat="1" applyFont="1"/>
    <xf numFmtId="43" fontId="25" fillId="0" borderId="1" xfId="0" applyNumberFormat="1" applyFont="1" applyBorder="1" applyAlignment="1">
      <alignment horizontal="center" vertical="center"/>
    </xf>
    <xf numFmtId="0" fontId="30" fillId="0" borderId="0" xfId="0" applyFont="1"/>
    <xf numFmtId="2" fontId="29" fillId="0" borderId="1" xfId="0" applyNumberFormat="1" applyFont="1" applyBorder="1"/>
    <xf numFmtId="1" fontId="0" fillId="0" borderId="0" xfId="0" applyNumberFormat="1" applyAlignment="1">
      <alignment horizontal="center"/>
    </xf>
    <xf numFmtId="0" fontId="28" fillId="0" borderId="19" xfId="0" applyFont="1" applyBorder="1" applyAlignment="1">
      <alignment horizontal="center" vertical="center"/>
    </xf>
    <xf numFmtId="0" fontId="28" fillId="0" borderId="5" xfId="0" applyFont="1" applyBorder="1"/>
    <xf numFmtId="0" fontId="28" fillId="0" borderId="0" xfId="0" applyFont="1"/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Border="1" applyAlignment="1"/>
    <xf numFmtId="0" fontId="1" fillId="0" borderId="0" xfId="0" applyFont="1" applyBorder="1"/>
    <xf numFmtId="43" fontId="0" fillId="0" borderId="0" xfId="0" applyNumberFormat="1" applyFill="1" applyBorder="1"/>
    <xf numFmtId="0" fontId="9" fillId="0" borderId="0" xfId="0" applyFont="1" applyBorder="1"/>
    <xf numFmtId="0" fontId="0" fillId="0" borderId="0" xfId="0"/>
    <xf numFmtId="0" fontId="0" fillId="0" borderId="37" xfId="0" applyBorder="1"/>
    <xf numFmtId="9" fontId="0" fillId="0" borderId="0" xfId="0" applyNumberFormat="1" applyAlignment="1">
      <alignment horizontal="center"/>
    </xf>
    <xf numFmtId="43" fontId="14" fillId="0" borderId="0" xfId="0" applyNumberFormat="1" applyFont="1" applyBorder="1"/>
    <xf numFmtId="0" fontId="0" fillId="0" borderId="0" xfId="0" applyAlignment="1">
      <alignment horizontal="left"/>
    </xf>
    <xf numFmtId="0" fontId="20" fillId="0" borderId="0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33" fillId="0" borderId="0" xfId="0" applyFont="1" applyAlignment="1"/>
    <xf numFmtId="0" fontId="1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3" fillId="0" borderId="0" xfId="0" applyFont="1" applyAlignment="1">
      <alignment horizontal="left"/>
    </xf>
    <xf numFmtId="0" fontId="34" fillId="0" borderId="0" xfId="0" applyFont="1" applyFill="1" applyBorder="1" applyAlignment="1">
      <alignment vertical="center"/>
    </xf>
    <xf numFmtId="0" fontId="35" fillId="0" borderId="0" xfId="0" applyFont="1" applyBorder="1" applyAlignment="1">
      <alignment vertical="center"/>
    </xf>
    <xf numFmtId="43" fontId="0" fillId="17" borderId="21" xfId="0" applyNumberFormat="1" applyFill="1" applyBorder="1"/>
    <xf numFmtId="0" fontId="0" fillId="0" borderId="119" xfId="0" applyBorder="1" applyAlignment="1">
      <alignment horizontal="center"/>
    </xf>
    <xf numFmtId="0" fontId="0" fillId="0" borderId="119" xfId="0" applyBorder="1"/>
    <xf numFmtId="43" fontId="0" fillId="0" borderId="121" xfId="0" applyNumberFormat="1" applyBorder="1"/>
    <xf numFmtId="0" fontId="0" fillId="0" borderId="121" xfId="0" applyBorder="1" applyAlignment="1">
      <alignment horizontal="center"/>
    </xf>
    <xf numFmtId="0" fontId="0" fillId="0" borderId="121" xfId="0" applyBorder="1"/>
    <xf numFmtId="0" fontId="0" fillId="0" borderId="122" xfId="0" applyBorder="1" applyAlignment="1">
      <alignment horizontal="center"/>
    </xf>
    <xf numFmtId="0" fontId="0" fillId="0" borderId="122" xfId="0" applyBorder="1"/>
    <xf numFmtId="43" fontId="0" fillId="0" borderId="124" xfId="0" applyNumberFormat="1" applyBorder="1"/>
    <xf numFmtId="0" fontId="0" fillId="0" borderId="124" xfId="0" applyBorder="1" applyAlignment="1">
      <alignment horizontal="center"/>
    </xf>
    <xf numFmtId="0" fontId="0" fillId="0" borderId="126" xfId="0" applyBorder="1" applyAlignment="1">
      <alignment horizontal="center"/>
    </xf>
    <xf numFmtId="0" fontId="0" fillId="0" borderId="126" xfId="0" applyBorder="1"/>
    <xf numFmtId="0" fontId="0" fillId="0" borderId="5" xfId="0" applyFill="1" applyBorder="1"/>
    <xf numFmtId="0" fontId="0" fillId="0" borderId="130" xfId="0" applyBorder="1" applyAlignment="1">
      <alignment horizontal="center"/>
    </xf>
    <xf numFmtId="0" fontId="0" fillId="0" borderId="130" xfId="0" applyBorder="1"/>
    <xf numFmtId="0" fontId="0" fillId="0" borderId="10" xfId="0" applyBorder="1" applyAlignment="1">
      <alignment horizontal="center" vertical="center" wrapText="1"/>
    </xf>
    <xf numFmtId="0" fontId="0" fillId="0" borderId="124" xfId="0" applyBorder="1"/>
    <xf numFmtId="43" fontId="0" fillId="0" borderId="126" xfId="0" applyNumberFormat="1" applyBorder="1"/>
    <xf numFmtId="0" fontId="0" fillId="0" borderId="11" xfId="0" applyBorder="1" applyAlignment="1">
      <alignment horizontal="center"/>
    </xf>
    <xf numFmtId="164" fontId="0" fillId="0" borderId="0" xfId="1" applyFont="1"/>
    <xf numFmtId="0" fontId="20" fillId="0" borderId="0" xfId="0" applyFont="1" applyAlignment="1">
      <alignment horizontal="center"/>
    </xf>
    <xf numFmtId="164" fontId="33" fillId="0" borderId="132" xfId="1" applyFont="1" applyBorder="1" applyAlignment="1">
      <alignment wrapText="1"/>
    </xf>
    <xf numFmtId="0" fontId="0" fillId="0" borderId="132" xfId="0" applyBorder="1" applyAlignment="1">
      <alignment wrapText="1"/>
    </xf>
    <xf numFmtId="164" fontId="4" fillId="5" borderId="1" xfId="1" applyFont="1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164" fontId="39" fillId="5" borderId="1" xfId="1" applyFont="1" applyFill="1" applyBorder="1" applyAlignment="1">
      <alignment wrapText="1"/>
    </xf>
    <xf numFmtId="0" fontId="39" fillId="5" borderId="1" xfId="0" applyFont="1" applyFill="1" applyBorder="1" applyAlignment="1">
      <alignment wrapText="1"/>
    </xf>
    <xf numFmtId="0" fontId="39" fillId="5" borderId="1" xfId="0" applyFont="1" applyFill="1" applyBorder="1" applyAlignment="1">
      <alignment horizontal="center"/>
    </xf>
    <xf numFmtId="164" fontId="0" fillId="0" borderId="0" xfId="1" applyFont="1" applyBorder="1" applyAlignment="1">
      <alignment wrapText="1"/>
    </xf>
    <xf numFmtId="0" fontId="0" fillId="0" borderId="0" xfId="0" applyBorder="1" applyAlignment="1">
      <alignment wrapText="1"/>
    </xf>
    <xf numFmtId="0" fontId="20" fillId="0" borderId="135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42" fillId="0" borderId="0" xfId="0" applyFont="1" applyAlignment="1">
      <alignment horizontal="left" indent="1"/>
    </xf>
    <xf numFmtId="164" fontId="0" fillId="0" borderId="0" xfId="0" applyNumberFormat="1" applyFill="1" applyBorder="1"/>
    <xf numFmtId="164" fontId="0" fillId="0" borderId="0" xfId="1" applyNumberFormat="1" applyFont="1" applyFill="1" applyBorder="1"/>
    <xf numFmtId="0" fontId="3" fillId="0" borderId="61" xfId="0" applyFont="1" applyBorder="1"/>
    <xf numFmtId="43" fontId="3" fillId="17" borderId="115" xfId="1" applyNumberFormat="1" applyFont="1" applyFill="1" applyBorder="1" applyAlignment="1">
      <alignment horizontal="right"/>
    </xf>
    <xf numFmtId="43" fontId="3" fillId="17" borderId="128" xfId="1" applyNumberFormat="1" applyFont="1" applyFill="1" applyBorder="1" applyAlignment="1">
      <alignment horizontal="right"/>
    </xf>
    <xf numFmtId="43" fontId="3" fillId="17" borderId="140" xfId="1" applyNumberFormat="1" applyFont="1" applyFill="1" applyBorder="1" applyAlignment="1">
      <alignment horizontal="right"/>
    </xf>
    <xf numFmtId="43" fontId="3" fillId="17" borderId="141" xfId="1" applyNumberFormat="1" applyFont="1" applyFill="1" applyBorder="1" applyAlignment="1"/>
    <xf numFmtId="0" fontId="3" fillId="0" borderId="116" xfId="0" applyFont="1" applyBorder="1"/>
    <xf numFmtId="43" fontId="3" fillId="0" borderId="142" xfId="1" applyNumberFormat="1" applyFont="1" applyBorder="1" applyAlignment="1">
      <alignment horizontal="right"/>
    </xf>
    <xf numFmtId="43" fontId="3" fillId="0" borderId="6" xfId="1" applyNumberFormat="1" applyFont="1" applyBorder="1" applyAlignment="1">
      <alignment horizontal="right"/>
    </xf>
    <xf numFmtId="43" fontId="3" fillId="0" borderId="112" xfId="1" applyNumberFormat="1" applyFont="1" applyBorder="1" applyAlignment="1">
      <alignment horizontal="right"/>
    </xf>
    <xf numFmtId="43" fontId="3" fillId="0" borderId="6" xfId="1" applyNumberFormat="1" applyFont="1" applyBorder="1" applyAlignment="1"/>
    <xf numFmtId="0" fontId="3" fillId="2" borderId="87" xfId="0" applyNumberFormat="1" applyFont="1" applyFill="1" applyBorder="1"/>
    <xf numFmtId="0" fontId="3" fillId="0" borderId="114" xfId="0" applyNumberFormat="1" applyFont="1" applyBorder="1"/>
    <xf numFmtId="0" fontId="0" fillId="0" borderId="0" xfId="0" applyFill="1" applyBorder="1" applyAlignment="1">
      <alignment horizontal="left"/>
    </xf>
    <xf numFmtId="0" fontId="47" fillId="0" borderId="0" xfId="0" applyFont="1" applyBorder="1"/>
    <xf numFmtId="0" fontId="1" fillId="0" borderId="3" xfId="0" applyFont="1" applyBorder="1" applyAlignment="1"/>
    <xf numFmtId="0" fontId="1" fillId="0" borderId="0" xfId="0" applyFont="1" applyAlignment="1">
      <alignment horizontal="center"/>
    </xf>
    <xf numFmtId="43" fontId="0" fillId="0" borderId="21" xfId="0" applyNumberForma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43" fontId="0" fillId="0" borderId="119" xfId="0" applyNumberFormat="1" applyFill="1" applyBorder="1"/>
    <xf numFmtId="0" fontId="1" fillId="0" borderId="159" xfId="0" applyFont="1" applyFill="1" applyBorder="1" applyAlignment="1">
      <alignment horizontal="center"/>
    </xf>
    <xf numFmtId="0" fontId="1" fillId="0" borderId="160" xfId="0" applyFont="1" applyFill="1" applyBorder="1" applyAlignment="1"/>
    <xf numFmtId="0" fontId="1" fillId="0" borderId="120" xfId="0" applyFont="1" applyFill="1" applyBorder="1"/>
    <xf numFmtId="43" fontId="0" fillId="0" borderId="28" xfId="0" applyNumberFormat="1" applyFill="1" applyBorder="1"/>
    <xf numFmtId="0" fontId="0" fillId="0" borderId="30" xfId="0" applyFill="1" applyBorder="1" applyAlignment="1">
      <alignment horizontal="center"/>
    </xf>
    <xf numFmtId="43" fontId="0" fillId="0" borderId="126" xfId="1" applyNumberFormat="1" applyFont="1" applyFill="1" applyBorder="1"/>
    <xf numFmtId="0" fontId="0" fillId="0" borderId="27" xfId="0" applyFill="1" applyBorder="1" applyAlignment="1">
      <alignment horizontal="center"/>
    </xf>
    <xf numFmtId="43" fontId="0" fillId="0" borderId="161" xfId="0" applyNumberFormat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63" xfId="0" applyBorder="1"/>
    <xf numFmtId="0" fontId="0" fillId="0" borderId="30" xfId="0" applyFill="1" applyBorder="1" applyAlignment="1"/>
    <xf numFmtId="0" fontId="0" fillId="0" borderId="29" xfId="0" applyFill="1" applyBorder="1"/>
    <xf numFmtId="0" fontId="0" fillId="0" borderId="28" xfId="0" applyFill="1" applyBorder="1"/>
    <xf numFmtId="0" fontId="0" fillId="0" borderId="164" xfId="0" applyFill="1" applyBorder="1" applyAlignment="1"/>
    <xf numFmtId="0" fontId="0" fillId="0" borderId="165" xfId="0" applyFill="1" applyBorder="1" applyAlignment="1"/>
    <xf numFmtId="0" fontId="1" fillId="0" borderId="30" xfId="0" applyFont="1" applyFill="1" applyBorder="1" applyAlignment="1">
      <alignment horizontal="center"/>
    </xf>
    <xf numFmtId="43" fontId="0" fillId="0" borderId="130" xfId="0" applyNumberFormat="1" applyBorder="1"/>
    <xf numFmtId="43" fontId="0" fillId="0" borderId="130" xfId="0" applyNumberFormat="1" applyFill="1" applyBorder="1"/>
    <xf numFmtId="0" fontId="1" fillId="0" borderId="166" xfId="0" applyFont="1" applyFill="1" applyBorder="1" applyAlignment="1">
      <alignment horizontal="center"/>
    </xf>
    <xf numFmtId="0" fontId="0" fillId="0" borderId="127" xfId="0" applyBorder="1" applyAlignment="1">
      <alignment horizontal="center"/>
    </xf>
    <xf numFmtId="0" fontId="0" fillId="0" borderId="162" xfId="0" applyBorder="1"/>
    <xf numFmtId="43" fontId="5" fillId="0" borderId="161" xfId="0" applyNumberFormat="1" applyFont="1" applyBorder="1"/>
    <xf numFmtId="0" fontId="0" fillId="0" borderId="161" xfId="0" applyBorder="1" applyAlignment="1">
      <alignment horizontal="center"/>
    </xf>
    <xf numFmtId="0" fontId="0" fillId="0" borderId="161" xfId="0" applyBorder="1"/>
    <xf numFmtId="0" fontId="0" fillId="0" borderId="29" xfId="0" applyFill="1" applyBorder="1" applyAlignment="1"/>
    <xf numFmtId="0" fontId="0" fillId="0" borderId="26" xfId="0" applyFill="1" applyBorder="1" applyAlignment="1"/>
    <xf numFmtId="43" fontId="1" fillId="0" borderId="0" xfId="0" applyNumberFormat="1" applyFont="1" applyBorder="1" applyAlignment="1"/>
    <xf numFmtId="0" fontId="0" fillId="0" borderId="1" xfId="0" applyBorder="1" applyAlignment="1">
      <alignment horizontal="center" vertical="center" wrapText="1"/>
    </xf>
    <xf numFmtId="43" fontId="0" fillId="17" borderId="78" xfId="0" applyNumberFormat="1" applyFill="1" applyBorder="1"/>
    <xf numFmtId="43" fontId="1" fillId="0" borderId="78" xfId="0" applyNumberFormat="1" applyFont="1" applyFill="1" applyBorder="1" applyAlignment="1">
      <alignment horizontal="center"/>
    </xf>
    <xf numFmtId="0" fontId="1" fillId="0" borderId="78" xfId="0" applyFont="1" applyBorder="1"/>
    <xf numFmtId="0" fontId="0" fillId="0" borderId="78" xfId="0" applyFill="1" applyBorder="1" applyAlignment="1">
      <alignment horizontal="center"/>
    </xf>
    <xf numFmtId="43" fontId="0" fillId="0" borderId="167" xfId="0" applyNumberFormat="1" applyFill="1" applyBorder="1"/>
    <xf numFmtId="43" fontId="0" fillId="0" borderId="168" xfId="0" applyNumberFormat="1" applyFill="1" applyBorder="1"/>
    <xf numFmtId="0" fontId="1" fillId="0" borderId="169" xfId="0" applyFont="1" applyFill="1" applyBorder="1"/>
    <xf numFmtId="0" fontId="1" fillId="0" borderId="170" xfId="0" applyFont="1" applyFill="1" applyBorder="1"/>
    <xf numFmtId="0" fontId="0" fillId="0" borderId="170" xfId="0" applyFill="1" applyBorder="1" applyAlignment="1">
      <alignment horizontal="center"/>
    </xf>
    <xf numFmtId="0" fontId="0" fillId="0" borderId="167" xfId="0" applyFill="1" applyBorder="1" applyAlignment="1">
      <alignment horizontal="center"/>
    </xf>
    <xf numFmtId="0" fontId="0" fillId="0" borderId="167" xfId="0" applyFill="1" applyBorder="1"/>
    <xf numFmtId="0" fontId="0" fillId="0" borderId="30" xfId="0" applyBorder="1"/>
    <xf numFmtId="0" fontId="0" fillId="0" borderId="121" xfId="0" applyFill="1" applyBorder="1"/>
    <xf numFmtId="0" fontId="0" fillId="0" borderId="29" xfId="0" applyBorder="1"/>
    <xf numFmtId="165" fontId="0" fillId="0" borderId="30" xfId="0" applyNumberFormat="1" applyFill="1" applyBorder="1"/>
    <xf numFmtId="43" fontId="8" fillId="0" borderId="0" xfId="0" applyNumberFormat="1" applyFont="1" applyBorder="1" applyAlignment="1"/>
    <xf numFmtId="43" fontId="0" fillId="0" borderId="172" xfId="0" applyNumberFormat="1" applyFill="1" applyBorder="1"/>
    <xf numFmtId="43" fontId="0" fillId="0" borderId="173" xfId="0" applyNumberFormat="1" applyFill="1" applyBorder="1"/>
    <xf numFmtId="0" fontId="0" fillId="0" borderId="174" xfId="0" applyFill="1" applyBorder="1" applyAlignment="1">
      <alignment horizontal="center"/>
    </xf>
    <xf numFmtId="0" fontId="0" fillId="0" borderId="172" xfId="0" applyFill="1" applyBorder="1" applyAlignment="1">
      <alignment horizontal="center"/>
    </xf>
    <xf numFmtId="0" fontId="0" fillId="0" borderId="172" xfId="0" applyFill="1" applyBorder="1"/>
    <xf numFmtId="43" fontId="0" fillId="0" borderId="172" xfId="0" applyNumberFormat="1" applyBorder="1"/>
    <xf numFmtId="43" fontId="0" fillId="0" borderId="173" xfId="0" applyNumberFormat="1" applyBorder="1"/>
    <xf numFmtId="0" fontId="0" fillId="0" borderId="17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72" xfId="0" applyBorder="1"/>
    <xf numFmtId="43" fontId="0" fillId="0" borderId="167" xfId="0" applyNumberFormat="1" applyBorder="1"/>
    <xf numFmtId="43" fontId="0" fillId="0" borderId="168" xfId="0" applyNumberFormat="1" applyBorder="1"/>
    <xf numFmtId="0" fontId="1" fillId="0" borderId="40" xfId="0" applyFont="1" applyFill="1" applyBorder="1"/>
    <xf numFmtId="0" fontId="1" fillId="0" borderId="175" xfId="0" applyFont="1" applyFill="1" applyBorder="1"/>
    <xf numFmtId="0" fontId="0" fillId="0" borderId="170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7" xfId="0" applyBorder="1"/>
    <xf numFmtId="43" fontId="0" fillId="9" borderId="176" xfId="0" applyNumberFormat="1" applyFill="1" applyBorder="1"/>
    <xf numFmtId="0" fontId="1" fillId="0" borderId="6" xfId="0" applyFont="1" applyFill="1" applyBorder="1" applyAlignment="1">
      <alignment horizontal="center"/>
    </xf>
    <xf numFmtId="165" fontId="0" fillId="0" borderId="6" xfId="0" applyNumberFormat="1" applyFill="1" applyBorder="1"/>
    <xf numFmtId="43" fontId="0" fillId="0" borderId="177" xfId="0" applyNumberFormat="1" applyBorder="1"/>
    <xf numFmtId="43" fontId="0" fillId="0" borderId="178" xfId="0" applyNumberFormat="1" applyBorder="1"/>
    <xf numFmtId="0" fontId="1" fillId="0" borderId="0" xfId="0" applyFont="1" applyFill="1" applyBorder="1"/>
    <xf numFmtId="0" fontId="1" fillId="0" borderId="5" xfId="0" applyFont="1" applyFill="1" applyBorder="1"/>
    <xf numFmtId="0" fontId="0" fillId="0" borderId="177" xfId="0" applyBorder="1" applyAlignment="1">
      <alignment horizontal="center"/>
    </xf>
    <xf numFmtId="0" fontId="0" fillId="0" borderId="177" xfId="0" applyBorder="1"/>
    <xf numFmtId="0" fontId="0" fillId="0" borderId="6" xfId="0" applyFont="1" applyFill="1" applyBorder="1" applyAlignment="1">
      <alignment horizontal="center"/>
    </xf>
    <xf numFmtId="0" fontId="0" fillId="0" borderId="179" xfId="0" applyBorder="1" applyAlignment="1">
      <alignment horizontal="center"/>
    </xf>
    <xf numFmtId="0" fontId="0" fillId="0" borderId="180" xfId="0" applyBorder="1"/>
    <xf numFmtId="0" fontId="0" fillId="0" borderId="181" xfId="0" applyBorder="1" applyAlignment="1">
      <alignment horizontal="center"/>
    </xf>
    <xf numFmtId="43" fontId="0" fillId="0" borderId="182" xfId="0" applyNumberFormat="1" applyBorder="1"/>
    <xf numFmtId="43" fontId="0" fillId="0" borderId="183" xfId="0" applyNumberFormat="1" applyBorder="1"/>
    <xf numFmtId="0" fontId="0" fillId="0" borderId="184" xfId="0" applyBorder="1" applyAlignment="1">
      <alignment horizontal="center"/>
    </xf>
    <xf numFmtId="0" fontId="0" fillId="0" borderId="182" xfId="0" applyBorder="1" applyAlignment="1">
      <alignment horizontal="center"/>
    </xf>
    <xf numFmtId="0" fontId="0" fillId="0" borderId="182" xfId="0" applyBorder="1"/>
    <xf numFmtId="0" fontId="11" fillId="0" borderId="0" xfId="0" applyFont="1" applyBorder="1" applyAlignment="1"/>
    <xf numFmtId="0" fontId="0" fillId="0" borderId="34" xfId="0" applyFont="1" applyFill="1" applyBorder="1"/>
    <xf numFmtId="0" fontId="1" fillId="0" borderId="125" xfId="0" applyFont="1" applyFill="1" applyBorder="1"/>
    <xf numFmtId="0" fontId="0" fillId="0" borderId="180" xfId="0" applyBorder="1" applyAlignment="1">
      <alignment horizontal="center"/>
    </xf>
    <xf numFmtId="165" fontId="0" fillId="0" borderId="171" xfId="0" applyNumberFormat="1" applyFill="1" applyBorder="1"/>
    <xf numFmtId="43" fontId="0" fillId="0" borderId="185" xfId="0" applyNumberFormat="1" applyBorder="1"/>
    <xf numFmtId="0" fontId="0" fillId="0" borderId="49" xfId="0" applyBorder="1" applyAlignment="1">
      <alignment horizontal="center"/>
    </xf>
    <xf numFmtId="0" fontId="0" fillId="0" borderId="185" xfId="0" applyBorder="1" applyAlignment="1">
      <alignment horizontal="center"/>
    </xf>
    <xf numFmtId="0" fontId="1" fillId="0" borderId="169" xfId="0" applyFont="1" applyFill="1" applyBorder="1" applyAlignment="1">
      <alignment horizontal="center"/>
    </xf>
    <xf numFmtId="0" fontId="1" fillId="0" borderId="170" xfId="0" applyFont="1" applyFill="1" applyBorder="1" applyAlignment="1">
      <alignment horizontal="center"/>
    </xf>
    <xf numFmtId="0" fontId="1" fillId="0" borderId="30" xfId="0" applyFont="1" applyFill="1" applyBorder="1" applyAlignment="1"/>
    <xf numFmtId="0" fontId="0" fillId="0" borderId="29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165" fontId="0" fillId="0" borderId="171" xfId="0" applyNumberFormat="1" applyFill="1" applyBorder="1" applyAlignment="1">
      <alignment horizontal="center"/>
    </xf>
    <xf numFmtId="0" fontId="1" fillId="0" borderId="169" xfId="0" applyFont="1" applyFill="1" applyBorder="1" applyAlignment="1"/>
    <xf numFmtId="0" fontId="1" fillId="0" borderId="170" xfId="0" applyFont="1" applyFill="1" applyBorder="1" applyAlignment="1"/>
    <xf numFmtId="0" fontId="0" fillId="0" borderId="28" xfId="0" applyFill="1" applyBorder="1" applyAlignment="1"/>
    <xf numFmtId="165" fontId="0" fillId="0" borderId="171" xfId="0" applyNumberFormat="1" applyFill="1" applyBorder="1" applyAlignment="1"/>
    <xf numFmtId="0" fontId="0" fillId="0" borderId="172" xfId="0" applyBorder="1" applyAlignment="1">
      <alignment horizontal="center" vertical="center" wrapText="1"/>
    </xf>
    <xf numFmtId="0" fontId="0" fillId="0" borderId="174" xfId="0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Fill="1"/>
    <xf numFmtId="43" fontId="0" fillId="0" borderId="11" xfId="0" applyNumberFormat="1" applyFill="1" applyBorder="1"/>
    <xf numFmtId="0" fontId="0" fillId="0" borderId="11" xfId="0" applyFill="1" applyBorder="1" applyAlignment="1">
      <alignment horizontal="center"/>
    </xf>
    <xf numFmtId="0" fontId="0" fillId="0" borderId="186" xfId="0" applyFill="1" applyBorder="1" applyAlignment="1">
      <alignment horizontal="center"/>
    </xf>
    <xf numFmtId="0" fontId="0" fillId="0" borderId="186" xfId="0" applyFill="1" applyBorder="1"/>
    <xf numFmtId="43" fontId="0" fillId="0" borderId="149" xfId="0" applyNumberFormat="1" applyFill="1" applyBorder="1"/>
    <xf numFmtId="0" fontId="42" fillId="0" borderId="0" xfId="0" applyFont="1" applyBorder="1" applyAlignment="1">
      <alignment horizontal="left" indent="1"/>
    </xf>
    <xf numFmtId="43" fontId="3" fillId="23" borderId="6" xfId="1" applyNumberFormat="1" applyFont="1" applyFill="1" applyBorder="1" applyAlignment="1">
      <alignment horizontal="right"/>
    </xf>
    <xf numFmtId="43" fontId="3" fillId="23" borderId="142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3" fontId="10" fillId="0" borderId="0" xfId="0" applyNumberFormat="1" applyFont="1"/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0" fillId="0" borderId="10" xfId="0" applyFont="1" applyBorder="1" applyAlignment="1">
      <alignment horizontal="center" vertical="center" wrapText="1"/>
    </xf>
    <xf numFmtId="0" fontId="0" fillId="0" borderId="189" xfId="0" applyBorder="1"/>
    <xf numFmtId="0" fontId="0" fillId="0" borderId="19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4" xfId="0" applyBorder="1"/>
    <xf numFmtId="43" fontId="3" fillId="6" borderId="6" xfId="1" applyNumberFormat="1" applyFont="1" applyFill="1" applyBorder="1" applyAlignment="1">
      <alignment horizontal="right"/>
    </xf>
    <xf numFmtId="43" fontId="3" fillId="6" borderId="142" xfId="1" applyNumberFormat="1" applyFont="1" applyFill="1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105" xfId="0" applyBorder="1" applyAlignment="1">
      <alignment horizontal="center"/>
    </xf>
    <xf numFmtId="0" fontId="51" fillId="0" borderId="0" xfId="0" applyFont="1" applyBorder="1"/>
    <xf numFmtId="0" fontId="52" fillId="0" borderId="0" xfId="0" applyFont="1" applyBorder="1" applyAlignment="1">
      <alignment horizontal="center"/>
    </xf>
    <xf numFmtId="0" fontId="53" fillId="0" borderId="0" xfId="0" applyFont="1" applyFill="1" applyBorder="1" applyAlignment="1">
      <alignment horizontal="left"/>
    </xf>
    <xf numFmtId="0" fontId="55" fillId="0" borderId="0" xfId="0" applyFont="1" applyFill="1" applyBorder="1" applyAlignment="1">
      <alignment horizontal="left"/>
    </xf>
    <xf numFmtId="0" fontId="55" fillId="0" borderId="38" xfId="0" applyFont="1" applyFill="1" applyBorder="1" applyAlignment="1"/>
    <xf numFmtId="0" fontId="56" fillId="0" borderId="0" xfId="0" applyFont="1" applyBorder="1"/>
    <xf numFmtId="0" fontId="9" fillId="0" borderId="0" xfId="0" applyFont="1" applyFill="1" applyAlignment="1">
      <alignment horizontal="left"/>
    </xf>
    <xf numFmtId="0" fontId="55" fillId="0" borderId="5" xfId="0" applyFont="1" applyFill="1" applyBorder="1" applyAlignment="1"/>
    <xf numFmtId="0" fontId="55" fillId="0" borderId="0" xfId="0" applyFont="1" applyFill="1" applyBorder="1" applyAlignment="1"/>
    <xf numFmtId="0" fontId="55" fillId="0" borderId="6" xfId="0" applyFont="1" applyFill="1" applyBorder="1" applyAlignment="1"/>
    <xf numFmtId="0" fontId="55" fillId="0" borderId="7" xfId="0" applyFont="1" applyFill="1" applyBorder="1" applyAlignment="1"/>
    <xf numFmtId="0" fontId="55" fillId="0" borderId="8" xfId="0" applyFont="1" applyFill="1" applyBorder="1" applyAlignment="1"/>
    <xf numFmtId="0" fontId="55" fillId="0" borderId="9" xfId="0" applyFont="1" applyFill="1" applyBorder="1" applyAlignment="1"/>
    <xf numFmtId="0" fontId="51" fillId="0" borderId="0" xfId="0" applyFont="1" applyAlignment="1">
      <alignment horizontal="center" vertical="center"/>
    </xf>
    <xf numFmtId="0" fontId="51" fillId="0" borderId="38" xfId="0" applyFont="1" applyBorder="1" applyAlignment="1">
      <alignment horizontal="center" vertical="center"/>
    </xf>
    <xf numFmtId="0" fontId="51" fillId="0" borderId="52" xfId="0" applyFont="1" applyBorder="1" applyAlignment="1">
      <alignment horizontal="center" vertical="center"/>
    </xf>
    <xf numFmtId="0" fontId="6" fillId="0" borderId="7" xfId="0" applyFont="1" applyBorder="1"/>
    <xf numFmtId="0" fontId="3" fillId="0" borderId="206" xfId="0" applyNumberFormat="1" applyFont="1" applyBorder="1"/>
    <xf numFmtId="0" fontId="3" fillId="2" borderId="205" xfId="0" applyNumberFormat="1" applyFont="1" applyFill="1" applyBorder="1"/>
    <xf numFmtId="43" fontId="3" fillId="0" borderId="192" xfId="1" applyNumberFormat="1" applyFont="1" applyBorder="1" applyAlignment="1">
      <alignment horizontal="right"/>
    </xf>
    <xf numFmtId="43" fontId="3" fillId="0" borderId="207" xfId="1" applyNumberFormat="1" applyFont="1" applyBorder="1" applyAlignment="1">
      <alignment horizontal="right"/>
    </xf>
    <xf numFmtId="43" fontId="59" fillId="0" borderId="7" xfId="0" applyNumberFormat="1" applyFont="1" applyBorder="1" applyAlignment="1">
      <alignment horizontal="center" vertical="center"/>
    </xf>
    <xf numFmtId="43" fontId="57" fillId="0" borderId="60" xfId="1" applyNumberFormat="1" applyFont="1" applyBorder="1" applyAlignment="1">
      <alignment horizontal="center" vertical="center"/>
    </xf>
    <xf numFmtId="0" fontId="51" fillId="0" borderId="54" xfId="0" applyFont="1" applyBorder="1" applyAlignment="1">
      <alignment horizontal="center" vertical="center"/>
    </xf>
    <xf numFmtId="43" fontId="57" fillId="0" borderId="67" xfId="1" applyNumberFormat="1" applyFont="1" applyBorder="1" applyAlignment="1">
      <alignment horizontal="center" vertical="center"/>
    </xf>
    <xf numFmtId="43" fontId="9" fillId="19" borderId="0" xfId="1" applyNumberFormat="1" applyFont="1" applyFill="1" applyBorder="1" applyAlignment="1"/>
    <xf numFmtId="43" fontId="9" fillId="16" borderId="6" xfId="1" applyNumberFormat="1" applyFont="1" applyFill="1" applyBorder="1" applyAlignment="1"/>
    <xf numFmtId="43" fontId="63" fillId="16" borderId="6" xfId="1" applyNumberFormat="1" applyFont="1" applyFill="1" applyBorder="1" applyAlignment="1"/>
    <xf numFmtId="43" fontId="1" fillId="0" borderId="0" xfId="0" applyNumberFormat="1" applyFont="1" applyFill="1" applyBorder="1"/>
    <xf numFmtId="0" fontId="0" fillId="0" borderId="2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78" xfId="0" applyBorder="1" applyAlignment="1">
      <alignment horizontal="center"/>
    </xf>
    <xf numFmtId="43" fontId="1" fillId="0" borderId="10" xfId="0" applyNumberFormat="1" applyFont="1" applyFill="1" applyBorder="1"/>
    <xf numFmtId="0" fontId="0" fillId="0" borderId="21" xfId="0" applyBorder="1" applyAlignment="1">
      <alignment vertical="center"/>
    </xf>
    <xf numFmtId="43" fontId="0" fillId="9" borderId="0" xfId="0" applyNumberFormat="1" applyFill="1" applyBorder="1"/>
    <xf numFmtId="43" fontId="0" fillId="0" borderId="190" xfId="0" applyNumberFormat="1" applyFill="1" applyBorder="1"/>
    <xf numFmtId="43" fontId="0" fillId="0" borderId="21" xfId="0" applyNumberFormat="1" applyBorder="1"/>
    <xf numFmtId="0" fontId="0" fillId="0" borderId="78" xfId="0" applyBorder="1"/>
    <xf numFmtId="43" fontId="0" fillId="0" borderId="78" xfId="0" applyNumberForma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43" fontId="5" fillId="0" borderId="11" xfId="0" applyNumberFormat="1" applyFont="1" applyBorder="1"/>
    <xf numFmtId="43" fontId="5" fillId="0" borderId="21" xfId="0" applyNumberFormat="1" applyFont="1" applyBorder="1"/>
    <xf numFmtId="0" fontId="44" fillId="0" borderId="55" xfId="0" applyFont="1" applyBorder="1" applyAlignment="1"/>
    <xf numFmtId="43" fontId="0" fillId="0" borderId="162" xfId="0" applyNumberFormat="1" applyBorder="1" applyAlignment="1">
      <alignment horizontal="center"/>
    </xf>
    <xf numFmtId="0" fontId="5" fillId="0" borderId="203" xfId="0" applyFont="1" applyBorder="1" applyAlignment="1"/>
    <xf numFmtId="0" fontId="44" fillId="0" borderId="14" xfId="0" applyFont="1" applyBorder="1" applyAlignment="1"/>
    <xf numFmtId="0" fontId="44" fillId="0" borderId="208" xfId="0" applyFont="1" applyBorder="1" applyAlignment="1"/>
    <xf numFmtId="17" fontId="44" fillId="0" borderId="36" xfId="0" applyNumberFormat="1" applyFont="1" applyBorder="1" applyAlignment="1"/>
    <xf numFmtId="0" fontId="1" fillId="0" borderId="40" xfId="0" applyFont="1" applyBorder="1" applyAlignment="1">
      <alignment horizontal="center"/>
    </xf>
    <xf numFmtId="0" fontId="0" fillId="0" borderId="169" xfId="0" applyBorder="1"/>
    <xf numFmtId="0" fontId="1" fillId="0" borderId="160" xfId="0" applyFont="1" applyFill="1" applyBorder="1" applyAlignment="1">
      <alignment horizontal="center"/>
    </xf>
    <xf numFmtId="43" fontId="1" fillId="0" borderId="5" xfId="0" applyNumberFormat="1" applyFont="1" applyFill="1" applyBorder="1"/>
    <xf numFmtId="0" fontId="5" fillId="0" borderId="0" xfId="0" applyFont="1" applyAlignment="1">
      <alignment horizontal="center" vertical="center"/>
    </xf>
    <xf numFmtId="0" fontId="0" fillId="0" borderId="210" xfId="0" applyBorder="1"/>
    <xf numFmtId="0" fontId="26" fillId="0" borderId="210" xfId="0" applyFont="1" applyBorder="1"/>
    <xf numFmtId="43" fontId="2" fillId="0" borderId="0" xfId="0" applyNumberFormat="1" applyFont="1"/>
    <xf numFmtId="0" fontId="0" fillId="0" borderId="0" xfId="0" applyAlignment="1">
      <alignment horizontal="center"/>
    </xf>
    <xf numFmtId="0" fontId="26" fillId="0" borderId="210" xfId="0" applyFont="1" applyBorder="1" applyAlignment="1"/>
    <xf numFmtId="0" fontId="66" fillId="0" borderId="0" xfId="0" applyFont="1" applyBorder="1"/>
    <xf numFmtId="0" fontId="10" fillId="0" borderId="0" xfId="0" applyFont="1"/>
    <xf numFmtId="0" fontId="32" fillId="0" borderId="46" xfId="1" applyNumberFormat="1" applyFont="1" applyBorder="1" applyAlignment="1">
      <alignment horizontal="left"/>
    </xf>
    <xf numFmtId="43" fontId="50" fillId="0" borderId="0" xfId="0" applyNumberFormat="1" applyFont="1" applyAlignment="1">
      <alignment horizontal="center"/>
    </xf>
    <xf numFmtId="0" fontId="67" fillId="0" borderId="0" xfId="0" applyFont="1" applyBorder="1" applyAlignment="1">
      <alignment horizontal="right"/>
    </xf>
    <xf numFmtId="0" fontId="1" fillId="0" borderId="167" xfId="0" applyFont="1" applyBorder="1"/>
    <xf numFmtId="0" fontId="0" fillId="0" borderId="3" xfId="0" applyBorder="1" applyAlignment="1">
      <alignment horizontal="center" vertical="center"/>
    </xf>
    <xf numFmtId="43" fontId="0" fillId="0" borderId="0" xfId="0" applyNumberFormat="1" applyAlignment="1">
      <alignment horizontal="left"/>
    </xf>
    <xf numFmtId="0" fontId="44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1" xfId="0" applyFill="1" applyBorder="1"/>
    <xf numFmtId="0" fontId="44" fillId="0" borderId="2" xfId="0" applyFont="1" applyBorder="1" applyAlignment="1"/>
    <xf numFmtId="0" fontId="44" fillId="0" borderId="3" xfId="0" applyFont="1" applyBorder="1" applyAlignment="1"/>
    <xf numFmtId="0" fontId="43" fillId="0" borderId="5" xfId="0" applyFont="1" applyBorder="1" applyAlignment="1"/>
    <xf numFmtId="0" fontId="43" fillId="0" borderId="0" xfId="0" applyFont="1" applyBorder="1" applyAlignment="1"/>
    <xf numFmtId="0" fontId="2" fillId="0" borderId="174" xfId="0" applyFont="1" applyFill="1" applyBorder="1" applyAlignment="1">
      <alignment vertical="center" wrapText="1"/>
    </xf>
    <xf numFmtId="0" fontId="0" fillId="0" borderId="237" xfId="0" applyBorder="1"/>
    <xf numFmtId="43" fontId="0" fillId="0" borderId="238" xfId="0" applyNumberFormat="1" applyBorder="1"/>
    <xf numFmtId="0" fontId="0" fillId="0" borderId="239" xfId="0" applyBorder="1"/>
    <xf numFmtId="0" fontId="0" fillId="0" borderId="122" xfId="0" applyFill="1" applyBorder="1" applyAlignment="1">
      <alignment horizontal="center"/>
    </xf>
    <xf numFmtId="0" fontId="2" fillId="0" borderId="122" xfId="0" applyFont="1" applyBorder="1" applyAlignment="1">
      <alignment horizontal="center" vertical="center" wrapText="1"/>
    </xf>
    <xf numFmtId="0" fontId="30" fillId="0" borderId="240" xfId="0" applyFont="1" applyBorder="1" applyAlignment="1">
      <alignment horizontal="center" vertical="center" wrapText="1"/>
    </xf>
    <xf numFmtId="0" fontId="0" fillId="0" borderId="241" xfId="0" applyBorder="1"/>
    <xf numFmtId="0" fontId="1" fillId="0" borderId="121" xfId="0" applyFont="1" applyBorder="1" applyAlignment="1">
      <alignment horizontal="center"/>
    </xf>
    <xf numFmtId="0" fontId="0" fillId="9" borderId="121" xfId="0" applyNumberFormat="1" applyFill="1" applyBorder="1" applyAlignment="1">
      <alignment horizontal="center"/>
    </xf>
    <xf numFmtId="43" fontId="0" fillId="9" borderId="121" xfId="0" applyNumberFormat="1" applyFill="1" applyBorder="1"/>
    <xf numFmtId="0" fontId="0" fillId="0" borderId="236" xfId="0" applyBorder="1"/>
    <xf numFmtId="0" fontId="0" fillId="0" borderId="121" xfId="0" applyFill="1" applyBorder="1" applyAlignment="1">
      <alignment horizontal="center"/>
    </xf>
    <xf numFmtId="0" fontId="0" fillId="0" borderId="236" xfId="0" applyFill="1" applyBorder="1"/>
    <xf numFmtId="0" fontId="0" fillId="0" borderId="241" xfId="0" applyFill="1" applyBorder="1" applyAlignment="1">
      <alignment horizontal="center"/>
    </xf>
    <xf numFmtId="0" fontId="0" fillId="0" borderId="242" xfId="0" applyBorder="1"/>
    <xf numFmtId="43" fontId="0" fillId="0" borderId="243" xfId="0" applyNumberFormat="1" applyBorder="1"/>
    <xf numFmtId="0" fontId="2" fillId="0" borderId="126" xfId="0" applyFont="1" applyBorder="1" applyAlignment="1">
      <alignment horizontal="center" vertical="center" wrapText="1"/>
    </xf>
    <xf numFmtId="43" fontId="0" fillId="0" borderId="235" xfId="0" applyNumberFormat="1" applyBorder="1"/>
    <xf numFmtId="0" fontId="0" fillId="0" borderId="16" xfId="0" applyFill="1" applyBorder="1" applyAlignment="1">
      <alignment horizontal="center"/>
    </xf>
    <xf numFmtId="0" fontId="0" fillId="0" borderId="244" xfId="0" applyFill="1" applyBorder="1" applyAlignment="1">
      <alignment horizontal="center"/>
    </xf>
    <xf numFmtId="0" fontId="0" fillId="0" borderId="124" xfId="0" applyFill="1" applyBorder="1" applyAlignment="1">
      <alignment horizontal="center"/>
    </xf>
    <xf numFmtId="0" fontId="0" fillId="9" borderId="167" xfId="0" applyNumberFormat="1" applyFill="1" applyBorder="1" applyAlignment="1">
      <alignment horizontal="center"/>
    </xf>
    <xf numFmtId="43" fontId="0" fillId="0" borderId="16" xfId="0" applyNumberFormat="1" applyFill="1" applyBorder="1"/>
    <xf numFmtId="0" fontId="5" fillId="0" borderId="186" xfId="0" applyFont="1" applyFill="1" applyBorder="1" applyAlignment="1"/>
    <xf numFmtId="0" fontId="30" fillId="0" borderId="11" xfId="0" applyFont="1" applyBorder="1" applyAlignment="1">
      <alignment horizontal="center"/>
    </xf>
    <xf numFmtId="0" fontId="0" fillId="0" borderId="16" xfId="0" applyFill="1" applyBorder="1"/>
    <xf numFmtId="166" fontId="0" fillId="0" borderId="0" xfId="0" applyNumberFormat="1" applyFill="1" applyBorder="1"/>
    <xf numFmtId="0" fontId="36" fillId="5" borderId="133" xfId="0" applyFont="1" applyFill="1" applyBorder="1" applyAlignment="1">
      <alignment vertical="center" wrapText="1"/>
    </xf>
    <xf numFmtId="0" fontId="37" fillId="5" borderId="134" xfId="0" applyFont="1" applyFill="1" applyBorder="1" applyAlignment="1">
      <alignment horizontal="center" vertical="center"/>
    </xf>
    <xf numFmtId="164" fontId="36" fillId="5" borderId="133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7" fillId="25" borderId="134" xfId="0" applyFont="1" applyFill="1" applyBorder="1" applyAlignment="1">
      <alignment horizontal="center" vertical="center"/>
    </xf>
    <xf numFmtId="0" fontId="36" fillId="25" borderId="133" xfId="0" applyFont="1" applyFill="1" applyBorder="1" applyAlignment="1">
      <alignment vertical="center" wrapText="1"/>
    </xf>
    <xf numFmtId="0" fontId="37" fillId="24" borderId="134" xfId="0" applyFont="1" applyFill="1" applyBorder="1" applyAlignment="1">
      <alignment horizontal="center" vertical="center"/>
    </xf>
    <xf numFmtId="0" fontId="36" fillId="24" borderId="133" xfId="0" applyFont="1" applyFill="1" applyBorder="1" applyAlignment="1">
      <alignment vertical="center" wrapText="1"/>
    </xf>
    <xf numFmtId="164" fontId="36" fillId="24" borderId="133" xfId="1" applyFont="1" applyFill="1" applyBorder="1" applyAlignment="1">
      <alignment vertical="center" wrapText="1"/>
    </xf>
    <xf numFmtId="164" fontId="33" fillId="0" borderId="132" xfId="1" applyFont="1" applyBorder="1" applyAlignment="1">
      <alignment vertical="center" wrapText="1"/>
    </xf>
    <xf numFmtId="0" fontId="3" fillId="0" borderId="0" xfId="3" applyFont="1" applyBorder="1"/>
    <xf numFmtId="0" fontId="18" fillId="0" borderId="0" xfId="3" applyBorder="1"/>
    <xf numFmtId="0" fontId="18" fillId="0" borderId="0" xfId="3"/>
    <xf numFmtId="0" fontId="18" fillId="0" borderId="0" xfId="3" applyBorder="1" applyAlignment="1"/>
    <xf numFmtId="49" fontId="9" fillId="0" borderId="0" xfId="3" applyNumberFormat="1" applyFont="1" applyBorder="1" applyAlignment="1">
      <alignment horizontal="center"/>
    </xf>
    <xf numFmtId="0" fontId="23" fillId="0" borderId="0" xfId="3" applyFont="1" applyBorder="1"/>
    <xf numFmtId="0" fontId="18" fillId="0" borderId="2" xfId="3" applyBorder="1"/>
    <xf numFmtId="0" fontId="18" fillId="0" borderId="3" xfId="3" applyBorder="1"/>
    <xf numFmtId="49" fontId="70" fillId="0" borderId="0" xfId="3" applyNumberFormat="1" applyFont="1" applyAlignment="1">
      <alignment horizontal="center"/>
    </xf>
    <xf numFmtId="0" fontId="22" fillId="0" borderId="0" xfId="3" applyFont="1" applyAlignment="1">
      <alignment horizontal="center"/>
    </xf>
    <xf numFmtId="0" fontId="18" fillId="0" borderId="5" xfId="3" applyBorder="1"/>
    <xf numFmtId="49" fontId="9" fillId="0" borderId="0" xfId="3" applyNumberFormat="1" applyFont="1" applyAlignment="1">
      <alignment horizontal="center"/>
    </xf>
    <xf numFmtId="43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53" xfId="0" applyBorder="1" applyAlignment="1">
      <alignment horizontal="center"/>
    </xf>
    <xf numFmtId="166" fontId="0" fillId="0" borderId="0" xfId="0" applyNumberFormat="1" applyFill="1" applyBorder="1" applyAlignment="1"/>
    <xf numFmtId="166" fontId="0" fillId="0" borderId="6" xfId="0" applyNumberFormat="1" applyFill="1" applyBorder="1" applyAlignment="1"/>
    <xf numFmtId="0" fontId="11" fillId="0" borderId="0" xfId="0" applyFont="1" applyFill="1" applyBorder="1" applyAlignment="1"/>
    <xf numFmtId="0" fontId="72" fillId="0" borderId="0" xfId="0" applyFont="1"/>
    <xf numFmtId="43" fontId="73" fillId="0" borderId="37" xfId="1" applyNumberFormat="1" applyFont="1" applyBorder="1"/>
    <xf numFmtId="0" fontId="29" fillId="0" borderId="0" xfId="0" applyFont="1" applyAlignment="1">
      <alignment horizontal="center" vertical="center"/>
    </xf>
    <xf numFmtId="0" fontId="3" fillId="0" borderId="53" xfId="0" applyNumberFormat="1" applyFont="1" applyBorder="1"/>
    <xf numFmtId="0" fontId="74" fillId="0" borderId="0" xfId="0" applyFont="1"/>
    <xf numFmtId="0" fontId="7" fillId="0" borderId="210" xfId="0" applyFont="1" applyBorder="1" applyAlignment="1">
      <alignment horizontal="center"/>
    </xf>
    <xf numFmtId="0" fontId="6" fillId="0" borderId="210" xfId="0" applyFont="1" applyBorder="1"/>
    <xf numFmtId="43" fontId="74" fillId="0" borderId="0" xfId="0" applyNumberFormat="1" applyFont="1" applyBorder="1"/>
    <xf numFmtId="43" fontId="6" fillId="0" borderId="0" xfId="0" applyNumberFormat="1" applyFont="1"/>
    <xf numFmtId="0" fontId="74" fillId="0" borderId="0" xfId="0" applyFont="1" applyBorder="1"/>
    <xf numFmtId="0" fontId="74" fillId="0" borderId="210" xfId="0" applyFont="1" applyBorder="1"/>
    <xf numFmtId="0" fontId="6" fillId="0" borderId="40" xfId="0" applyFont="1" applyBorder="1"/>
    <xf numFmtId="43" fontId="5" fillId="0" borderId="0" xfId="0" applyNumberFormat="1" applyFont="1"/>
    <xf numFmtId="0" fontId="6" fillId="0" borderId="0" xfId="0" applyFont="1" applyAlignment="1">
      <alignment horizontal="center"/>
    </xf>
    <xf numFmtId="43" fontId="74" fillId="0" borderId="0" xfId="0" applyNumberFormat="1" applyFont="1"/>
    <xf numFmtId="0" fontId="6" fillId="0" borderId="210" xfId="0" applyFont="1" applyBorder="1" applyAlignment="1"/>
    <xf numFmtId="0" fontId="18" fillId="0" borderId="8" xfId="3" applyBorder="1" applyAlignment="1">
      <alignment horizontal="center"/>
    </xf>
    <xf numFmtId="0" fontId="18" fillId="0" borderId="12" xfId="3" applyBorder="1" applyAlignment="1">
      <alignment horizontal="left"/>
    </xf>
    <xf numFmtId="0" fontId="18" fillId="0" borderId="15" xfId="3" applyBorder="1" applyAlignment="1">
      <alignment horizontal="left"/>
    </xf>
    <xf numFmtId="0" fontId="18" fillId="0" borderId="13" xfId="3" applyBorder="1" applyAlignment="1">
      <alignment horizontal="left"/>
    </xf>
    <xf numFmtId="0" fontId="18" fillId="0" borderId="0" xfId="3" applyAlignment="1">
      <alignment horizontal="left"/>
    </xf>
    <xf numFmtId="0" fontId="17" fillId="0" borderId="0" xfId="3" applyFont="1" applyAlignment="1">
      <alignment horizontal="center"/>
    </xf>
    <xf numFmtId="0" fontId="18" fillId="0" borderId="5" xfId="3" applyBorder="1" applyAlignment="1">
      <alignment horizontal="center"/>
    </xf>
    <xf numFmtId="0" fontId="18" fillId="0" borderId="5" xfId="3" applyBorder="1" applyAlignment="1">
      <alignment horizontal="left"/>
    </xf>
    <xf numFmtId="0" fontId="18" fillId="0" borderId="0" xfId="3" applyBorder="1" applyAlignment="1">
      <alignment horizontal="left"/>
    </xf>
    <xf numFmtId="0" fontId="18" fillId="0" borderId="6" xfId="3" applyBorder="1" applyAlignment="1">
      <alignment horizontal="left"/>
    </xf>
    <xf numFmtId="0" fontId="18" fillId="0" borderId="7" xfId="3" applyBorder="1" applyAlignment="1">
      <alignment horizontal="left"/>
    </xf>
    <xf numFmtId="0" fontId="18" fillId="0" borderId="8" xfId="3" applyBorder="1" applyAlignment="1">
      <alignment horizontal="left"/>
    </xf>
    <xf numFmtId="0" fontId="18" fillId="0" borderId="9" xfId="3" applyBorder="1" applyAlignment="1">
      <alignment horizontal="left"/>
    </xf>
    <xf numFmtId="0" fontId="18" fillId="0" borderId="3" xfId="3" applyBorder="1" applyAlignment="1">
      <alignment horizontal="center"/>
    </xf>
    <xf numFmtId="0" fontId="18" fillId="0" borderId="2" xfId="3" applyBorder="1" applyAlignment="1">
      <alignment horizontal="left"/>
    </xf>
    <xf numFmtId="0" fontId="51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3" fontId="29" fillId="0" borderId="1" xfId="0" applyNumberFormat="1" applyFont="1" applyBorder="1"/>
    <xf numFmtId="4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3" fontId="75" fillId="0" borderId="0" xfId="0" applyNumberFormat="1" applyFont="1" applyBorder="1" applyAlignment="1">
      <alignment horizontal="center" vertical="center"/>
    </xf>
    <xf numFmtId="43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3" fontId="10" fillId="0" borderId="0" xfId="0" applyNumberFormat="1" applyFont="1" applyBorder="1" applyAlignment="1">
      <alignment horizontal="center" vertical="center"/>
    </xf>
    <xf numFmtId="43" fontId="10" fillId="0" borderId="6" xfId="0" applyNumberFormat="1" applyFont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51" fillId="0" borderId="8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0" fontId="10" fillId="32" borderId="3" xfId="0" applyFont="1" applyFill="1" applyBorder="1" applyAlignment="1">
      <alignment horizontal="center" vertical="center"/>
    </xf>
    <xf numFmtId="0" fontId="10" fillId="32" borderId="0" xfId="0" applyFont="1" applyFill="1" applyBorder="1" applyAlignment="1">
      <alignment horizontal="center" vertical="center"/>
    </xf>
    <xf numFmtId="0" fontId="51" fillId="32" borderId="8" xfId="0" applyFont="1" applyFill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43" fontId="14" fillId="0" borderId="142" xfId="1" applyNumberFormat="1" applyFont="1" applyBorder="1" applyAlignment="1">
      <alignment horizontal="right"/>
    </xf>
    <xf numFmtId="0" fontId="0" fillId="0" borderId="317" xfId="0" applyBorder="1"/>
    <xf numFmtId="0" fontId="0" fillId="0" borderId="318" xfId="0" applyBorder="1"/>
    <xf numFmtId="0" fontId="67" fillId="0" borderId="0" xfId="0" applyFont="1" applyBorder="1"/>
    <xf numFmtId="0" fontId="0" fillId="0" borderId="0" xfId="0" applyAlignment="1">
      <alignment horizontal="center"/>
    </xf>
    <xf numFmtId="170" fontId="10" fillId="0" borderId="284" xfId="3" applyNumberFormat="1" applyFont="1" applyBorder="1" applyAlignment="1">
      <alignment horizontal="center"/>
    </xf>
    <xf numFmtId="16" fontId="65" fillId="0" borderId="0" xfId="3" applyNumberFormat="1" applyFont="1" applyFill="1" applyBorder="1" applyAlignment="1">
      <alignment horizontal="center"/>
    </xf>
    <xf numFmtId="170" fontId="2" fillId="0" borderId="0" xfId="3" applyNumberFormat="1" applyFont="1" applyFill="1" applyBorder="1" applyAlignment="1">
      <alignment horizontal="center"/>
    </xf>
    <xf numFmtId="170" fontId="2" fillId="0" borderId="0" xfId="3" applyNumberFormat="1" applyFont="1" applyAlignment="1">
      <alignment horizontal="center"/>
    </xf>
    <xf numFmtId="170" fontId="14" fillId="0" borderId="0" xfId="3" applyNumberFormat="1" applyFont="1" applyBorder="1" applyAlignment="1">
      <alignment horizontal="center"/>
    </xf>
    <xf numFmtId="16" fontId="2" fillId="0" borderId="0" xfId="3" applyNumberFormat="1" applyFont="1" applyBorder="1" applyAlignment="1">
      <alignment horizontal="center"/>
    </xf>
    <xf numFmtId="0" fontId="0" fillId="0" borderId="54" xfId="0" applyBorder="1"/>
    <xf numFmtId="0" fontId="18" fillId="0" borderId="51" xfId="3" applyBorder="1"/>
    <xf numFmtId="0" fontId="18" fillId="0" borderId="51" xfId="3" applyBorder="1" applyAlignment="1">
      <alignment horizontal="center"/>
    </xf>
    <xf numFmtId="49" fontId="9" fillId="0" borderId="52" xfId="3" applyNumberFormat="1" applyFont="1" applyBorder="1" applyAlignment="1">
      <alignment horizontal="center"/>
    </xf>
    <xf numFmtId="49" fontId="9" fillId="0" borderId="37" xfId="3" applyNumberFormat="1" applyFont="1" applyBorder="1" applyAlignment="1">
      <alignment horizontal="center"/>
    </xf>
    <xf numFmtId="0" fontId="18" fillId="0" borderId="38" xfId="3" applyBorder="1"/>
    <xf numFmtId="0" fontId="18" fillId="0" borderId="38" xfId="3" applyBorder="1" applyAlignment="1">
      <alignment horizontal="center"/>
    </xf>
    <xf numFmtId="49" fontId="9" fillId="0" borderId="45" xfId="3" applyNumberFormat="1" applyFont="1" applyBorder="1" applyAlignment="1">
      <alignment horizontal="center"/>
    </xf>
    <xf numFmtId="0" fontId="18" fillId="0" borderId="0" xfId="3" applyBorder="1" applyAlignment="1">
      <alignment horizontal="center"/>
    </xf>
    <xf numFmtId="0" fontId="18" fillId="0" borderId="0" xfId="3" applyAlignment="1">
      <alignment horizontal="center"/>
    </xf>
    <xf numFmtId="43" fontId="0" fillId="0" borderId="0" xfId="0" applyNumberFormat="1" applyAlignment="1">
      <alignment horizontal="center"/>
    </xf>
    <xf numFmtId="0" fontId="18" fillId="0" borderId="4" xfId="3" applyBorder="1" applyAlignment="1">
      <alignment horizontal="center"/>
    </xf>
    <xf numFmtId="49" fontId="9" fillId="0" borderId="4" xfId="3" applyNumberFormat="1" applyFont="1" applyBorder="1" applyAlignment="1">
      <alignment horizontal="center"/>
    </xf>
    <xf numFmtId="0" fontId="18" fillId="0" borderId="9" xfId="3" applyBorder="1" applyAlignment="1">
      <alignment horizontal="center"/>
    </xf>
    <xf numFmtId="49" fontId="9" fillId="0" borderId="6" xfId="3" applyNumberFormat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8" fillId="0" borderId="339" xfId="1" applyNumberFormat="1" applyFont="1" applyBorder="1"/>
    <xf numFmtId="0" fontId="11" fillId="0" borderId="1" xfId="0" applyFont="1" applyBorder="1" applyAlignment="1">
      <alignment horizontal="center" vertical="center" wrapText="1"/>
    </xf>
    <xf numFmtId="43" fontId="3" fillId="0" borderId="0" xfId="0" applyNumberFormat="1" applyFont="1" applyAlignment="1">
      <alignment horizontal="right"/>
    </xf>
    <xf numFmtId="43" fontId="28" fillId="0" borderId="19" xfId="0" applyNumberFormat="1" applyFont="1" applyBorder="1"/>
    <xf numFmtId="43" fontId="0" fillId="0" borderId="20" xfId="0" applyNumberFormat="1" applyBorder="1"/>
    <xf numFmtId="43" fontId="10" fillId="0" borderId="1" xfId="0" applyNumberFormat="1" applyFont="1" applyBorder="1"/>
    <xf numFmtId="43" fontId="2" fillId="0" borderId="1" xfId="0" applyNumberFormat="1" applyFont="1" applyBorder="1"/>
    <xf numFmtId="43" fontId="3" fillId="0" borderId="8" xfId="0" applyNumberFormat="1" applyFont="1" applyBorder="1" applyAlignment="1">
      <alignment horizontal="right"/>
    </xf>
    <xf numFmtId="0" fontId="29" fillId="0" borderId="0" xfId="0" applyFont="1" applyBorder="1"/>
    <xf numFmtId="0" fontId="6" fillId="0" borderId="18" xfId="0" applyFont="1" applyBorder="1"/>
    <xf numFmtId="0" fontId="0" fillId="9" borderId="176" xfId="0" applyNumberFormat="1" applyFill="1" applyBorder="1"/>
    <xf numFmtId="0" fontId="0" fillId="0" borderId="17" xfId="0" applyBorder="1"/>
    <xf numFmtId="0" fontId="1" fillId="0" borderId="11" xfId="0" applyFont="1" applyBorder="1"/>
    <xf numFmtId="0" fontId="16" fillId="20" borderId="49" xfId="0" applyFont="1" applyFill="1" applyBorder="1" applyAlignment="1"/>
    <xf numFmtId="0" fontId="32" fillId="0" borderId="0" xfId="0" quotePrefix="1" applyFont="1" applyAlignment="1">
      <alignment horizontal="left"/>
    </xf>
    <xf numFmtId="0" fontId="44" fillId="0" borderId="13" xfId="0" applyFont="1" applyBorder="1" applyAlignment="1"/>
    <xf numFmtId="170" fontId="44" fillId="0" borderId="15" xfId="0" applyNumberFormat="1" applyFont="1" applyBorder="1" applyAlignment="1">
      <alignment horizontal="center"/>
    </xf>
    <xf numFmtId="170" fontId="20" fillId="0" borderId="162" xfId="0" applyNumberFormat="1" applyFont="1" applyBorder="1" applyAlignment="1">
      <alignment horizontal="center" vertical="center"/>
    </xf>
    <xf numFmtId="170" fontId="44" fillId="0" borderId="131" xfId="0" applyNumberFormat="1" applyFont="1" applyBorder="1" applyAlignment="1">
      <alignment horizontal="center" vertical="center"/>
    </xf>
    <xf numFmtId="170" fontId="44" fillId="0" borderId="55" xfId="0" applyNumberFormat="1" applyFont="1" applyBorder="1" applyAlignment="1">
      <alignment horizontal="center"/>
    </xf>
    <xf numFmtId="43" fontId="0" fillId="19" borderId="0" xfId="0" applyNumberFormat="1" applyFill="1"/>
    <xf numFmtId="43" fontId="0" fillId="19" borderId="28" xfId="0" applyNumberFormat="1" applyFill="1" applyBorder="1"/>
    <xf numFmtId="0" fontId="2" fillId="0" borderId="0" xfId="0" applyFont="1" applyAlignment="1"/>
    <xf numFmtId="0" fontId="77" fillId="0" borderId="0" xfId="0" applyFont="1" applyFill="1" applyBorder="1" applyAlignment="1">
      <alignment horizontal="right"/>
    </xf>
    <xf numFmtId="0" fontId="78" fillId="0" borderId="0" xfId="0" applyFont="1" applyFill="1" applyBorder="1" applyAlignment="1">
      <alignment horizontal="right"/>
    </xf>
    <xf numFmtId="0" fontId="77" fillId="0" borderId="0" xfId="0" applyFont="1" applyAlignment="1">
      <alignment horizontal="right"/>
    </xf>
    <xf numFmtId="0" fontId="78" fillId="0" borderId="0" xfId="0" applyFont="1" applyAlignment="1">
      <alignment horizontal="right"/>
    </xf>
    <xf numFmtId="43" fontId="50" fillId="0" borderId="0" xfId="0" applyNumberFormat="1" applyFont="1" applyAlignment="1">
      <alignment horizontal="center"/>
    </xf>
    <xf numFmtId="0" fontId="79" fillId="0" borderId="0" xfId="3" applyFont="1"/>
    <xf numFmtId="0" fontId="79" fillId="0" borderId="0" xfId="3" applyFont="1" applyAlignment="1">
      <alignment horizontal="center"/>
    </xf>
    <xf numFmtId="49" fontId="80" fillId="0" borderId="0" xfId="3" applyNumberFormat="1" applyFont="1" applyAlignment="1">
      <alignment horizontal="center"/>
    </xf>
    <xf numFmtId="0" fontId="81" fillId="0" borderId="0" xfId="3" applyFont="1"/>
    <xf numFmtId="0" fontId="82" fillId="0" borderId="0" xfId="3" applyFont="1" applyFill="1" applyBorder="1"/>
    <xf numFmtId="0" fontId="83" fillId="0" borderId="0" xfId="3" applyFont="1" applyFill="1" applyBorder="1" applyAlignment="1">
      <alignment horizontal="center"/>
    </xf>
    <xf numFmtId="49" fontId="84" fillId="0" borderId="0" xfId="3" applyNumberFormat="1" applyFont="1" applyFill="1" applyBorder="1" applyAlignment="1">
      <alignment horizontal="center"/>
    </xf>
    <xf numFmtId="0" fontId="85" fillId="0" borderId="0" xfId="3" applyFont="1" applyFill="1" applyBorder="1" applyAlignment="1">
      <alignment vertical="center"/>
    </xf>
    <xf numFmtId="0" fontId="86" fillId="0" borderId="0" xfId="3" applyFont="1" applyFill="1" applyBorder="1" applyAlignment="1">
      <alignment vertical="center"/>
    </xf>
    <xf numFmtId="0" fontId="87" fillId="0" borderId="0" xfId="3" applyFont="1" applyFill="1" applyBorder="1" applyAlignment="1"/>
    <xf numFmtId="1" fontId="88" fillId="0" borderId="0" xfId="3" applyNumberFormat="1" applyFont="1" applyFill="1" applyBorder="1" applyAlignment="1">
      <alignment horizontal="center"/>
    </xf>
    <xf numFmtId="1" fontId="80" fillId="0" borderId="0" xfId="3" applyNumberFormat="1" applyFont="1" applyFill="1" applyBorder="1" applyAlignment="1">
      <alignment horizontal="center"/>
    </xf>
    <xf numFmtId="1" fontId="88" fillId="0" borderId="0" xfId="3" applyNumberFormat="1" applyFont="1" applyFill="1" applyBorder="1" applyAlignment="1">
      <alignment horizontal="center" vertical="center"/>
    </xf>
    <xf numFmtId="1" fontId="88" fillId="0" borderId="0" xfId="3" applyNumberFormat="1" applyFont="1" applyBorder="1" applyAlignment="1">
      <alignment horizontal="center"/>
    </xf>
    <xf numFmtId="1" fontId="80" fillId="0" borderId="0" xfId="3" applyNumberFormat="1" applyFont="1" applyAlignment="1">
      <alignment horizontal="center"/>
    </xf>
    <xf numFmtId="1" fontId="80" fillId="0" borderId="44" xfId="3" applyNumberFormat="1" applyFont="1" applyBorder="1" applyAlignment="1">
      <alignment horizontal="center"/>
    </xf>
    <xf numFmtId="1" fontId="88" fillId="0" borderId="44" xfId="3" applyNumberFormat="1" applyFont="1" applyBorder="1" applyAlignment="1">
      <alignment horizontal="center"/>
    </xf>
    <xf numFmtId="1" fontId="88" fillId="0" borderId="0" xfId="3" applyNumberFormat="1" applyFont="1" applyBorder="1" applyAlignment="1">
      <alignment horizontal="center" vertical="center"/>
    </xf>
    <xf numFmtId="1" fontId="80" fillId="0" borderId="0" xfId="3" applyNumberFormat="1" applyFont="1" applyBorder="1" applyAlignment="1">
      <alignment horizontal="center"/>
    </xf>
    <xf numFmtId="0" fontId="90" fillId="0" borderId="0" xfId="3" applyFont="1" applyFill="1" applyBorder="1" applyAlignment="1">
      <alignment horizontal="center"/>
    </xf>
    <xf numFmtId="1" fontId="91" fillId="0" borderId="44" xfId="3" applyNumberFormat="1" applyFont="1" applyFill="1" applyBorder="1" applyAlignment="1">
      <alignment horizontal="center"/>
    </xf>
    <xf numFmtId="1" fontId="92" fillId="0" borderId="44" xfId="3" applyNumberFormat="1" applyFont="1" applyFill="1" applyBorder="1" applyAlignment="1">
      <alignment horizontal="center"/>
    </xf>
    <xf numFmtId="1" fontId="88" fillId="0" borderId="44" xfId="3" applyNumberFormat="1" applyFont="1" applyFill="1" applyBorder="1" applyAlignment="1">
      <alignment horizontal="center"/>
    </xf>
    <xf numFmtId="1" fontId="91" fillId="0" borderId="44" xfId="3" applyNumberFormat="1" applyFont="1" applyBorder="1" applyAlignment="1">
      <alignment horizontal="center"/>
    </xf>
    <xf numFmtId="1" fontId="92" fillId="0" borderId="44" xfId="3" applyNumberFormat="1" applyFont="1" applyBorder="1" applyAlignment="1">
      <alignment horizontal="center"/>
    </xf>
    <xf numFmtId="1" fontId="93" fillId="0" borderId="44" xfId="3" applyNumberFormat="1" applyFont="1" applyFill="1" applyBorder="1" applyAlignment="1">
      <alignment horizontal="center"/>
    </xf>
    <xf numFmtId="0" fontId="93" fillId="0" borderId="44" xfId="3" applyFont="1" applyFill="1" applyBorder="1" applyAlignment="1">
      <alignment horizontal="center"/>
    </xf>
    <xf numFmtId="1" fontId="88" fillId="0" borderId="0" xfId="3" applyNumberFormat="1" applyFont="1" applyFill="1" applyBorder="1" applyAlignment="1"/>
    <xf numFmtId="0" fontId="86" fillId="0" borderId="0" xfId="3" applyFont="1" applyFill="1" applyBorder="1" applyAlignment="1">
      <alignment horizontal="center"/>
    </xf>
    <xf numFmtId="1" fontId="94" fillId="0" borderId="44" xfId="3" applyNumberFormat="1" applyFont="1" applyFill="1" applyBorder="1" applyAlignment="1">
      <alignment horizontal="center"/>
    </xf>
    <xf numFmtId="1" fontId="95" fillId="0" borderId="44" xfId="3" applyNumberFormat="1" applyFont="1" applyBorder="1" applyAlignment="1">
      <alignment horizontal="center"/>
    </xf>
    <xf numFmtId="1" fontId="90" fillId="31" borderId="2" xfId="3" applyNumberFormat="1" applyFont="1" applyFill="1" applyBorder="1" applyAlignment="1">
      <alignment horizontal="center"/>
    </xf>
    <xf numFmtId="1" fontId="80" fillId="31" borderId="3" xfId="3" applyNumberFormat="1" applyFont="1" applyFill="1" applyBorder="1" applyAlignment="1">
      <alignment horizontal="center"/>
    </xf>
    <xf numFmtId="1" fontId="90" fillId="31" borderId="4" xfId="3" applyNumberFormat="1" applyFont="1" applyFill="1" applyBorder="1" applyAlignment="1">
      <alignment horizontal="center" vertical="center"/>
    </xf>
    <xf numFmtId="1" fontId="88" fillId="0" borderId="5" xfId="3" applyNumberFormat="1" applyFont="1" applyBorder="1" applyAlignment="1">
      <alignment horizontal="center" vertical="center"/>
    </xf>
    <xf numFmtId="1" fontId="88" fillId="0" borderId="6" xfId="3" applyNumberFormat="1" applyFont="1" applyBorder="1" applyAlignment="1">
      <alignment horizontal="center" vertical="center"/>
    </xf>
    <xf numFmtId="1" fontId="80" fillId="7" borderId="5" xfId="3" applyNumberFormat="1" applyFont="1" applyFill="1" applyBorder="1" applyAlignment="1">
      <alignment horizontal="center"/>
    </xf>
    <xf numFmtId="1" fontId="80" fillId="0" borderId="2" xfId="3" applyNumberFormat="1" applyFont="1" applyBorder="1" applyAlignment="1">
      <alignment horizontal="center"/>
    </xf>
    <xf numFmtId="1" fontId="80" fillId="0" borderId="3" xfId="3" applyNumberFormat="1" applyFont="1" applyBorder="1" applyAlignment="1">
      <alignment horizontal="center"/>
    </xf>
    <xf numFmtId="1" fontId="92" fillId="0" borderId="10" xfId="3" applyNumberFormat="1" applyFont="1" applyBorder="1" applyAlignment="1">
      <alignment horizontal="center" vertical="center"/>
    </xf>
    <xf numFmtId="0" fontId="97" fillId="0" borderId="251" xfId="3" applyFont="1" applyBorder="1" applyAlignment="1">
      <alignment horizontal="center"/>
    </xf>
    <xf numFmtId="1" fontId="95" fillId="0" borderId="44" xfId="3" applyNumberFormat="1" applyFont="1" applyFill="1" applyBorder="1" applyAlignment="1">
      <alignment horizontal="center"/>
    </xf>
    <xf numFmtId="1" fontId="88" fillId="31" borderId="11" xfId="3" applyNumberFormat="1" applyFont="1" applyFill="1" applyBorder="1" applyAlignment="1">
      <alignment horizontal="center"/>
    </xf>
    <xf numFmtId="1" fontId="88" fillId="0" borderId="2" xfId="3" applyNumberFormat="1" applyFont="1" applyBorder="1" applyAlignment="1">
      <alignment horizontal="center"/>
    </xf>
    <xf numFmtId="1" fontId="88" fillId="0" borderId="3" xfId="3" applyNumberFormat="1" applyFont="1" applyBorder="1" applyAlignment="1">
      <alignment horizontal="center"/>
    </xf>
    <xf numFmtId="1" fontId="88" fillId="0" borderId="3" xfId="3" applyNumberFormat="1" applyFont="1" applyBorder="1" applyAlignment="1">
      <alignment horizontal="center" vertical="center"/>
    </xf>
    <xf numFmtId="1" fontId="88" fillId="0" borderId="3" xfId="3" applyNumberFormat="1" applyFont="1" applyFill="1" applyBorder="1" applyAlignment="1">
      <alignment horizontal="center" vertical="center"/>
    </xf>
    <xf numFmtId="1" fontId="80" fillId="0" borderId="4" xfId="3" applyNumberFormat="1" applyFont="1" applyBorder="1" applyAlignment="1">
      <alignment horizontal="center"/>
    </xf>
    <xf numFmtId="1" fontId="88" fillId="31" borderId="6" xfId="3" applyNumberFormat="1" applyFont="1" applyFill="1" applyBorder="1" applyAlignment="1">
      <alignment horizontal="center" vertical="center"/>
    </xf>
    <xf numFmtId="1" fontId="98" fillId="7" borderId="5" xfId="3" applyNumberFormat="1" applyFont="1" applyFill="1" applyBorder="1" applyAlignment="1">
      <alignment horizontal="center" vertical="center"/>
    </xf>
    <xf numFmtId="1" fontId="92" fillId="0" borderId="11" xfId="3" applyNumberFormat="1" applyFont="1" applyBorder="1" applyAlignment="1">
      <alignment horizontal="center"/>
    </xf>
    <xf numFmtId="1" fontId="91" fillId="7" borderId="6" xfId="3" applyNumberFormat="1" applyFont="1" applyFill="1" applyBorder="1" applyAlignment="1">
      <alignment horizontal="center"/>
    </xf>
    <xf numFmtId="0" fontId="90" fillId="11" borderId="249" xfId="3" applyFont="1" applyFill="1" applyBorder="1" applyAlignment="1"/>
    <xf numFmtId="0" fontId="100" fillId="0" borderId="0" xfId="3" applyFont="1" applyFill="1" applyBorder="1" applyAlignment="1">
      <alignment horizontal="center" vertical="center"/>
    </xf>
    <xf numFmtId="0" fontId="94" fillId="0" borderId="44" xfId="3" applyFont="1" applyFill="1" applyBorder="1" applyAlignment="1">
      <alignment horizontal="center"/>
    </xf>
    <xf numFmtId="1" fontId="88" fillId="0" borderId="5" xfId="3" applyNumberFormat="1" applyFont="1" applyBorder="1" applyAlignment="1">
      <alignment horizontal="center"/>
    </xf>
    <xf numFmtId="1" fontId="80" fillId="0" borderId="6" xfId="3" applyNumberFormat="1" applyFont="1" applyBorder="1" applyAlignment="1">
      <alignment horizontal="center"/>
    </xf>
    <xf numFmtId="1" fontId="92" fillId="7" borderId="5" xfId="3" applyNumberFormat="1" applyFont="1" applyFill="1" applyBorder="1" applyAlignment="1">
      <alignment horizontal="center"/>
    </xf>
    <xf numFmtId="1" fontId="92" fillId="0" borderId="21" xfId="3" applyNumberFormat="1" applyFont="1" applyBorder="1" applyAlignment="1">
      <alignment horizontal="center"/>
    </xf>
    <xf numFmtId="1" fontId="92" fillId="7" borderId="11" xfId="3" applyNumberFormat="1" applyFont="1" applyFill="1" applyBorder="1" applyAlignment="1">
      <alignment horizontal="center"/>
    </xf>
    <xf numFmtId="49" fontId="104" fillId="28" borderId="8" xfId="3" applyNumberFormat="1" applyFont="1" applyFill="1" applyBorder="1" applyAlignment="1">
      <alignment horizontal="center" vertical="center"/>
    </xf>
    <xf numFmtId="49" fontId="92" fillId="0" borderId="1" xfId="3" applyNumberFormat="1" applyFont="1" applyBorder="1" applyAlignment="1">
      <alignment horizontal="center"/>
    </xf>
    <xf numFmtId="0" fontId="99" fillId="0" borderId="261" xfId="3" applyFont="1" applyBorder="1" applyAlignment="1">
      <alignment horizontal="center"/>
    </xf>
    <xf numFmtId="0" fontId="105" fillId="31" borderId="9" xfId="3" applyFont="1" applyFill="1" applyBorder="1" applyAlignment="1">
      <alignment vertical="center"/>
    </xf>
    <xf numFmtId="0" fontId="85" fillId="4" borderId="12" xfId="3" applyFont="1" applyFill="1" applyBorder="1" applyAlignment="1">
      <alignment vertical="center"/>
    </xf>
    <xf numFmtId="0" fontId="99" fillId="0" borderId="0" xfId="3" applyFont="1" applyFill="1" applyBorder="1" applyAlignment="1">
      <alignment horizontal="center"/>
    </xf>
    <xf numFmtId="0" fontId="105" fillId="0" borderId="6" xfId="3" applyFont="1" applyBorder="1"/>
    <xf numFmtId="0" fontId="106" fillId="31" borderId="6" xfId="3" applyFont="1" applyFill="1" applyBorder="1" applyAlignment="1">
      <alignment horizontal="center"/>
    </xf>
    <xf numFmtId="0" fontId="99" fillId="31" borderId="6" xfId="3" applyFont="1" applyFill="1" applyBorder="1" applyAlignment="1">
      <alignment horizontal="center"/>
    </xf>
    <xf numFmtId="0" fontId="105" fillId="0" borderId="0" xfId="3" applyFont="1"/>
    <xf numFmtId="0" fontId="106" fillId="7" borderId="1" xfId="3" applyFont="1" applyFill="1" applyBorder="1" applyAlignment="1">
      <alignment horizontal="center"/>
    </xf>
    <xf numFmtId="0" fontId="105" fillId="0" borderId="0" xfId="3" applyFont="1" applyBorder="1"/>
    <xf numFmtId="49" fontId="82" fillId="0" borderId="11" xfId="3" applyNumberFormat="1" applyFont="1" applyBorder="1"/>
    <xf numFmtId="0" fontId="82" fillId="0" borderId="11" xfId="3" applyFont="1" applyBorder="1"/>
    <xf numFmtId="0" fontId="108" fillId="0" borderId="5" xfId="3" applyFont="1" applyBorder="1" applyAlignment="1">
      <alignment horizontal="center"/>
    </xf>
    <xf numFmtId="0" fontId="109" fillId="0" borderId="1" xfId="3" applyFont="1" applyBorder="1" applyAlignment="1">
      <alignment horizontal="center"/>
    </xf>
    <xf numFmtId="49" fontId="90" fillId="0" borderId="1" xfId="3" applyNumberFormat="1" applyFont="1" applyBorder="1" applyAlignment="1">
      <alignment horizontal="center"/>
    </xf>
    <xf numFmtId="49" fontId="91" fillId="0" borderId="1" xfId="3" applyNumberFormat="1" applyFont="1" applyBorder="1" applyAlignment="1">
      <alignment horizontal="center"/>
    </xf>
    <xf numFmtId="0" fontId="93" fillId="0" borderId="11" xfId="3" applyFont="1" applyBorder="1" applyAlignment="1">
      <alignment horizontal="center"/>
    </xf>
    <xf numFmtId="0" fontId="82" fillId="0" borderId="11" xfId="3" applyFont="1" applyBorder="1" applyAlignment="1">
      <alignment horizontal="center"/>
    </xf>
    <xf numFmtId="0" fontId="82" fillId="0" borderId="5" xfId="3" applyFont="1" applyBorder="1" applyAlignment="1">
      <alignment horizontal="center"/>
    </xf>
    <xf numFmtId="0" fontId="81" fillId="0" borderId="5" xfId="3" applyFont="1" applyBorder="1" applyAlignment="1">
      <alignment horizontal="center"/>
    </xf>
    <xf numFmtId="0" fontId="82" fillId="31" borderId="5" xfId="3" applyFont="1" applyFill="1" applyBorder="1" applyAlignment="1">
      <alignment horizontal="center"/>
    </xf>
    <xf numFmtId="49" fontId="84" fillId="0" borderId="5" xfId="3" applyNumberFormat="1" applyFont="1" applyBorder="1" applyAlignment="1">
      <alignment horizontal="center"/>
    </xf>
    <xf numFmtId="0" fontId="110" fillId="3" borderId="43" xfId="3" applyFont="1" applyFill="1" applyBorder="1" applyAlignment="1">
      <alignment horizontal="center" vertical="center"/>
    </xf>
    <xf numFmtId="0" fontId="82" fillId="3" borderId="310" xfId="3" applyFont="1" applyFill="1" applyBorder="1" applyAlignment="1">
      <alignment horizontal="center"/>
    </xf>
    <xf numFmtId="0" fontId="82" fillId="0" borderId="3" xfId="3" applyFont="1" applyFill="1" applyBorder="1" applyAlignment="1">
      <alignment horizontal="center"/>
    </xf>
    <xf numFmtId="0" fontId="82" fillId="0" borderId="6" xfId="3" applyFont="1" applyFill="1" applyBorder="1" applyAlignment="1">
      <alignment horizontal="center"/>
    </xf>
    <xf numFmtId="0" fontId="82" fillId="31" borderId="0" xfId="3" applyFont="1" applyFill="1" applyBorder="1" applyAlignment="1">
      <alignment horizontal="center"/>
    </xf>
    <xf numFmtId="0" fontId="93" fillId="31" borderId="9" xfId="3" applyFont="1" applyFill="1" applyBorder="1" applyAlignment="1">
      <alignment horizontal="center"/>
    </xf>
    <xf numFmtId="0" fontId="82" fillId="0" borderId="0" xfId="3" applyFont="1" applyBorder="1" applyAlignment="1">
      <alignment horizontal="center"/>
    </xf>
    <xf numFmtId="0" fontId="82" fillId="7" borderId="13" xfId="3" applyFont="1" applyFill="1" applyBorder="1"/>
    <xf numFmtId="0" fontId="82" fillId="0" borderId="9" xfId="3" applyFont="1" applyBorder="1"/>
    <xf numFmtId="0" fontId="82" fillId="0" borderId="21" xfId="3" applyFont="1" applyBorder="1"/>
    <xf numFmtId="0" fontId="82" fillId="0" borderId="21" xfId="3" applyFont="1" applyBorder="1" applyAlignment="1">
      <alignment horizontal="center"/>
    </xf>
    <xf numFmtId="49" fontId="84" fillId="0" borderId="7" xfId="3" applyNumberFormat="1" applyFont="1" applyBorder="1" applyAlignment="1">
      <alignment horizontal="center"/>
    </xf>
    <xf numFmtId="0" fontId="111" fillId="7" borderId="11" xfId="3" applyFont="1" applyFill="1" applyBorder="1" applyAlignment="1">
      <alignment horizontal="center"/>
    </xf>
    <xf numFmtId="0" fontId="82" fillId="0" borderId="0" xfId="3" applyFont="1" applyBorder="1"/>
    <xf numFmtId="0" fontId="79" fillId="0" borderId="0" xfId="3" applyFont="1" applyBorder="1" applyAlignment="1">
      <alignment horizontal="center"/>
    </xf>
    <xf numFmtId="0" fontId="79" fillId="0" borderId="0" xfId="3" applyFont="1" applyBorder="1"/>
    <xf numFmtId="49" fontId="82" fillId="0" borderId="7" xfId="3" applyNumberFormat="1" applyFont="1" applyBorder="1" applyAlignment="1">
      <alignment horizontal="center"/>
    </xf>
    <xf numFmtId="43" fontId="112" fillId="8" borderId="343" xfId="3" applyNumberFormat="1" applyFont="1" applyFill="1" applyBorder="1" applyAlignment="1">
      <alignment horizontal="center"/>
    </xf>
    <xf numFmtId="1" fontId="79" fillId="0" borderId="1" xfId="3" applyNumberFormat="1" applyFont="1" applyBorder="1" applyAlignment="1">
      <alignment horizontal="right"/>
    </xf>
    <xf numFmtId="0" fontId="82" fillId="2" borderId="1" xfId="3" applyNumberFormat="1" applyFont="1" applyFill="1" applyBorder="1"/>
    <xf numFmtId="0" fontId="82" fillId="0" borderId="1" xfId="3" applyNumberFormat="1" applyFont="1" applyFill="1" applyBorder="1"/>
    <xf numFmtId="0" fontId="82" fillId="5" borderId="1" xfId="3" applyFont="1" applyFill="1" applyBorder="1" applyAlignment="1">
      <alignment horizontal="left"/>
    </xf>
    <xf numFmtId="49" fontId="82" fillId="5" borderId="12" xfId="3" applyNumberFormat="1" applyFont="1" applyFill="1" applyBorder="1" applyAlignment="1">
      <alignment horizontal="left"/>
    </xf>
    <xf numFmtId="0" fontId="82" fillId="8" borderId="254" xfId="3" applyFont="1" applyFill="1" applyBorder="1"/>
    <xf numFmtId="43" fontId="82" fillId="8" borderId="255" xfId="3" applyNumberFormat="1" applyFont="1" applyFill="1" applyBorder="1"/>
    <xf numFmtId="43" fontId="81" fillId="8" borderId="255" xfId="3" applyNumberFormat="1" applyFont="1" applyFill="1" applyBorder="1"/>
    <xf numFmtId="43" fontId="82" fillId="8" borderId="256" xfId="3" applyNumberFormat="1" applyFont="1" applyFill="1" applyBorder="1"/>
    <xf numFmtId="43" fontId="82" fillId="31" borderId="13" xfId="3" applyNumberFormat="1" applyFont="1" applyFill="1" applyBorder="1" applyAlignment="1">
      <alignment horizontal="center"/>
    </xf>
    <xf numFmtId="10" fontId="82" fillId="0" borderId="12" xfId="3" applyNumberFormat="1" applyFont="1" applyFill="1" applyBorder="1" applyAlignment="1">
      <alignment horizontal="center"/>
    </xf>
    <xf numFmtId="43" fontId="82" fillId="0" borderId="272" xfId="3" applyNumberFormat="1" applyFont="1" applyFill="1" applyBorder="1" applyAlignment="1">
      <alignment horizontal="center"/>
    </xf>
    <xf numFmtId="43" fontId="82" fillId="0" borderId="21" xfId="3" applyNumberFormat="1" applyFont="1" applyFill="1" applyBorder="1" applyAlignment="1">
      <alignment horizontal="center"/>
    </xf>
    <xf numFmtId="43" fontId="82" fillId="0" borderId="258" xfId="3" applyNumberFormat="1" applyFont="1" applyFill="1" applyBorder="1" applyAlignment="1">
      <alignment horizontal="center"/>
    </xf>
    <xf numFmtId="43" fontId="82" fillId="3" borderId="259" xfId="3" applyNumberFormat="1" applyFont="1" applyFill="1" applyBorder="1"/>
    <xf numFmtId="43" fontId="82" fillId="31" borderId="13" xfId="3" applyNumberFormat="1" applyFont="1" applyFill="1" applyBorder="1"/>
    <xf numFmtId="43" fontId="82" fillId="31" borderId="15" xfId="3" applyNumberFormat="1" applyFont="1" applyFill="1" applyBorder="1"/>
    <xf numFmtId="43" fontId="82" fillId="0" borderId="1" xfId="3" applyNumberFormat="1" applyFont="1" applyFill="1" applyBorder="1"/>
    <xf numFmtId="43" fontId="82" fillId="0" borderId="13" xfId="3" applyNumberFormat="1" applyFont="1" applyFill="1" applyBorder="1"/>
    <xf numFmtId="43" fontId="82" fillId="29" borderId="12" xfId="3" applyNumberFormat="1" applyFont="1" applyFill="1" applyBorder="1"/>
    <xf numFmtId="0" fontId="82" fillId="0" borderId="259" xfId="3" applyFont="1" applyFill="1" applyBorder="1"/>
    <xf numFmtId="0" fontId="82" fillId="0" borderId="1" xfId="3" applyFont="1" applyFill="1" applyBorder="1"/>
    <xf numFmtId="49" fontId="79" fillId="5" borderId="1" xfId="3" applyNumberFormat="1" applyFont="1" applyFill="1" applyBorder="1" applyAlignment="1">
      <alignment horizontal="center"/>
    </xf>
    <xf numFmtId="169" fontId="79" fillId="5" borderId="12" xfId="3" applyNumberFormat="1" applyFont="1" applyFill="1" applyBorder="1" applyAlignment="1">
      <alignment horizontal="center"/>
    </xf>
    <xf numFmtId="0" fontId="79" fillId="0" borderId="251" xfId="3" applyFont="1" applyBorder="1" applyAlignment="1"/>
    <xf numFmtId="0" fontId="79" fillId="0" borderId="0" xfId="3" applyFont="1" applyBorder="1" applyAlignment="1"/>
    <xf numFmtId="49" fontId="82" fillId="0" borderId="12" xfId="3" applyNumberFormat="1" applyFont="1" applyBorder="1" applyAlignment="1">
      <alignment horizontal="center"/>
    </xf>
    <xf numFmtId="0" fontId="79" fillId="8" borderId="1" xfId="3" applyFont="1" applyFill="1" applyBorder="1"/>
    <xf numFmtId="43" fontId="112" fillId="8" borderId="12" xfId="3" applyNumberFormat="1" applyFont="1" applyFill="1" applyBorder="1" applyAlignment="1">
      <alignment horizontal="center"/>
    </xf>
    <xf numFmtId="0" fontId="82" fillId="8" borderId="260" xfId="3" applyFont="1" applyFill="1" applyBorder="1"/>
    <xf numFmtId="43" fontId="82" fillId="8" borderId="1" xfId="3" applyNumberFormat="1" applyFont="1" applyFill="1" applyBorder="1"/>
    <xf numFmtId="43" fontId="81" fillId="8" borderId="1" xfId="3" applyNumberFormat="1" applyFont="1" applyFill="1" applyBorder="1"/>
    <xf numFmtId="43" fontId="82" fillId="8" borderId="261" xfId="3" applyNumberFormat="1" applyFont="1" applyFill="1" applyBorder="1"/>
    <xf numFmtId="43" fontId="82" fillId="0" borderId="262" xfId="3" applyNumberFormat="1" applyFont="1" applyFill="1" applyBorder="1" applyAlignment="1">
      <alignment horizontal="center"/>
    </xf>
    <xf numFmtId="49" fontId="82" fillId="5" borderId="1" xfId="3" applyNumberFormat="1" applyFont="1" applyFill="1" applyBorder="1" applyAlignment="1">
      <alignment horizontal="center"/>
    </xf>
    <xf numFmtId="169" fontId="82" fillId="5" borderId="12" xfId="3" applyNumberFormat="1" applyFont="1" applyFill="1" applyBorder="1" applyAlignment="1">
      <alignment horizontal="center"/>
    </xf>
    <xf numFmtId="43" fontId="79" fillId="7" borderId="287" xfId="3" applyNumberFormat="1" applyFont="1" applyFill="1" applyBorder="1"/>
    <xf numFmtId="43" fontId="82" fillId="7" borderId="287" xfId="3" applyNumberFormat="1" applyFont="1" applyFill="1" applyBorder="1"/>
    <xf numFmtId="0" fontId="82" fillId="0" borderId="0" xfId="3" applyFont="1" applyBorder="1" applyAlignment="1"/>
    <xf numFmtId="0" fontId="82" fillId="0" borderId="12" xfId="3" applyNumberFormat="1" applyFont="1" applyBorder="1" applyAlignment="1">
      <alignment horizontal="center"/>
    </xf>
    <xf numFmtId="0" fontId="82" fillId="8" borderId="260" xfId="3" applyNumberFormat="1" applyFont="1" applyFill="1" applyBorder="1"/>
    <xf numFmtId="0" fontId="82" fillId="8" borderId="1" xfId="3" applyNumberFormat="1" applyFont="1" applyFill="1" applyBorder="1"/>
    <xf numFmtId="0" fontId="81" fillId="8" borderId="1" xfId="3" applyNumberFormat="1" applyFont="1" applyFill="1" applyBorder="1"/>
    <xf numFmtId="0" fontId="82" fillId="8" borderId="261" xfId="3" applyNumberFormat="1" applyFont="1" applyFill="1" applyBorder="1"/>
    <xf numFmtId="0" fontId="82" fillId="0" borderId="259" xfId="3" applyNumberFormat="1" applyFont="1" applyFill="1" applyBorder="1"/>
    <xf numFmtId="0" fontId="82" fillId="0" borderId="0" xfId="3" applyNumberFormat="1" applyFont="1" applyBorder="1"/>
    <xf numFmtId="0" fontId="79" fillId="0" borderId="0" xfId="3" applyNumberFormat="1" applyFont="1" applyBorder="1"/>
    <xf numFmtId="0" fontId="79" fillId="0" borderId="0" xfId="3" applyNumberFormat="1" applyFont="1"/>
    <xf numFmtId="43" fontId="112" fillId="8" borderId="12" xfId="3" applyNumberFormat="1" applyFont="1" applyFill="1" applyBorder="1"/>
    <xf numFmtId="49" fontId="82" fillId="0" borderId="12" xfId="3" applyNumberFormat="1" applyFont="1" applyFill="1" applyBorder="1" applyAlignment="1">
      <alignment horizontal="center"/>
    </xf>
    <xf numFmtId="0" fontId="79" fillId="0" borderId="0" xfId="3" applyFont="1" applyFill="1" applyBorder="1"/>
    <xf numFmtId="49" fontId="82" fillId="0" borderId="263" xfId="3" applyNumberFormat="1" applyFont="1" applyBorder="1" applyAlignment="1">
      <alignment horizontal="center"/>
    </xf>
    <xf numFmtId="0" fontId="79" fillId="8" borderId="245" xfId="3" applyFont="1" applyFill="1" applyBorder="1"/>
    <xf numFmtId="43" fontId="112" fillId="8" borderId="353" xfId="3" applyNumberFormat="1" applyFont="1" applyFill="1" applyBorder="1"/>
    <xf numFmtId="0" fontId="82" fillId="8" borderId="266" xfId="3" applyFont="1" applyFill="1" applyBorder="1"/>
    <xf numFmtId="43" fontId="82" fillId="8" borderId="149" xfId="3" applyNumberFormat="1" applyFont="1" applyFill="1" applyBorder="1"/>
    <xf numFmtId="43" fontId="81" fillId="8" borderId="149" xfId="3" applyNumberFormat="1" applyFont="1" applyFill="1" applyBorder="1"/>
    <xf numFmtId="43" fontId="82" fillId="8" borderId="267" xfId="3" applyNumberFormat="1" applyFont="1" applyFill="1" applyBorder="1"/>
    <xf numFmtId="43" fontId="82" fillId="31" borderId="131" xfId="3" applyNumberFormat="1" applyFont="1" applyFill="1" applyBorder="1" applyAlignment="1">
      <alignment horizontal="center"/>
    </xf>
    <xf numFmtId="43" fontId="82" fillId="0" borderId="268" xfId="3" applyNumberFormat="1" applyFont="1" applyFill="1" applyBorder="1" applyAlignment="1">
      <alignment horizontal="center"/>
    </xf>
    <xf numFmtId="43" fontId="82" fillId="31" borderId="265" xfId="3" applyNumberFormat="1" applyFont="1" applyFill="1" applyBorder="1"/>
    <xf numFmtId="43" fontId="82" fillId="0" borderId="149" xfId="3" applyNumberFormat="1" applyFont="1" applyFill="1" applyBorder="1"/>
    <xf numFmtId="0" fontId="82" fillId="0" borderId="269" xfId="3" applyFont="1" applyFill="1" applyBorder="1"/>
    <xf numFmtId="49" fontId="82" fillId="5" borderId="269" xfId="3" applyNumberFormat="1" applyFont="1" applyFill="1" applyBorder="1" applyAlignment="1">
      <alignment horizontal="center"/>
    </xf>
    <xf numFmtId="169" fontId="82" fillId="5" borderId="188" xfId="3" applyNumberFormat="1" applyFont="1" applyFill="1" applyBorder="1" applyAlignment="1">
      <alignment horizontal="center"/>
    </xf>
    <xf numFmtId="43" fontId="82" fillId="7" borderId="294" xfId="3" applyNumberFormat="1" applyFont="1" applyFill="1" applyBorder="1"/>
    <xf numFmtId="49" fontId="82" fillId="0" borderId="7" xfId="3" applyNumberFormat="1" applyFont="1" applyFill="1" applyBorder="1" applyAlignment="1">
      <alignment horizontal="center"/>
    </xf>
    <xf numFmtId="0" fontId="105" fillId="0" borderId="270" xfId="3" applyFont="1" applyFill="1" applyBorder="1" applyAlignment="1">
      <alignment horizontal="center" vertical="center"/>
    </xf>
    <xf numFmtId="0" fontId="105" fillId="0" borderId="78" xfId="3" applyFont="1" applyFill="1" applyBorder="1" applyAlignment="1">
      <alignment vertical="center"/>
    </xf>
    <xf numFmtId="43" fontId="109" fillId="0" borderId="175" xfId="3" applyNumberFormat="1" applyFont="1" applyFill="1" applyBorder="1" applyAlignment="1">
      <alignment horizontal="center" vertical="center"/>
    </xf>
    <xf numFmtId="43" fontId="113" fillId="0" borderId="1" xfId="3" applyNumberFormat="1" applyFont="1" applyFill="1" applyBorder="1" applyAlignment="1">
      <alignment horizontal="center"/>
    </xf>
    <xf numFmtId="0" fontId="84" fillId="0" borderId="1" xfId="3" applyNumberFormat="1" applyFont="1" applyFill="1" applyBorder="1" applyAlignment="1">
      <alignment horizontal="center"/>
    </xf>
    <xf numFmtId="0" fontId="114" fillId="0" borderId="1" xfId="3" applyNumberFormat="1" applyFont="1" applyFill="1" applyBorder="1" applyAlignment="1">
      <alignment horizontal="center"/>
    </xf>
    <xf numFmtId="0" fontId="99" fillId="0" borderId="7" xfId="3" applyFont="1" applyFill="1" applyBorder="1" applyAlignment="1">
      <alignment horizontal="center"/>
    </xf>
    <xf numFmtId="0" fontId="82" fillId="0" borderId="351" xfId="3" applyFont="1" applyFill="1" applyBorder="1"/>
    <xf numFmtId="43" fontId="82" fillId="0" borderId="352" xfId="3" applyNumberFormat="1" applyFont="1" applyFill="1" applyBorder="1"/>
    <xf numFmtId="43" fontId="81" fillId="0" borderId="352" xfId="3" applyNumberFormat="1" applyFont="1" applyFill="1" applyBorder="1"/>
    <xf numFmtId="43" fontId="82" fillId="0" borderId="316" xfId="3" applyNumberFormat="1" applyFont="1" applyFill="1" applyBorder="1"/>
    <xf numFmtId="43" fontId="82" fillId="31" borderId="9" xfId="3" applyNumberFormat="1" applyFont="1" applyFill="1" applyBorder="1" applyAlignment="1">
      <alignment horizontal="center"/>
    </xf>
    <xf numFmtId="0" fontId="82" fillId="0" borderId="7" xfId="3" applyNumberFormat="1" applyFont="1" applyFill="1" applyBorder="1" applyAlignment="1">
      <alignment horizontal="center"/>
    </xf>
    <xf numFmtId="43" fontId="112" fillId="0" borderId="271" xfId="3" applyNumberFormat="1" applyFont="1" applyFill="1" applyBorder="1" applyAlignment="1">
      <alignment horizontal="center"/>
    </xf>
    <xf numFmtId="43" fontId="112" fillId="0" borderId="175" xfId="3" applyNumberFormat="1" applyFont="1" applyFill="1" applyBorder="1" applyAlignment="1">
      <alignment horizontal="center"/>
    </xf>
    <xf numFmtId="43" fontId="82" fillId="0" borderId="309" xfId="3" applyNumberFormat="1" applyFont="1" applyFill="1" applyBorder="1" applyAlignment="1">
      <alignment horizontal="center"/>
    </xf>
    <xf numFmtId="43" fontId="112" fillId="0" borderId="272" xfId="3" applyNumberFormat="1" applyFont="1" applyFill="1" applyBorder="1"/>
    <xf numFmtId="43" fontId="82" fillId="31" borderId="9" xfId="3" applyNumberFormat="1" applyFont="1" applyFill="1" applyBorder="1"/>
    <xf numFmtId="43" fontId="94" fillId="31" borderId="8" xfId="3" applyNumberFormat="1" applyFont="1" applyFill="1" applyBorder="1"/>
    <xf numFmtId="43" fontId="112" fillId="0" borderId="21" xfId="3" applyNumberFormat="1" applyFont="1" applyFill="1" applyBorder="1"/>
    <xf numFmtId="43" fontId="112" fillId="0" borderId="9" xfId="3" applyNumberFormat="1" applyFont="1" applyFill="1" applyBorder="1"/>
    <xf numFmtId="43" fontId="106" fillId="0" borderId="7" xfId="3" applyNumberFormat="1" applyFont="1" applyFill="1" applyBorder="1"/>
    <xf numFmtId="0" fontId="82" fillId="0" borderId="257" xfId="3" applyFont="1" applyFill="1" applyBorder="1"/>
    <xf numFmtId="0" fontId="82" fillId="0" borderId="257" xfId="3" applyNumberFormat="1" applyFont="1" applyFill="1" applyBorder="1" applyAlignment="1">
      <alignment horizontal="center"/>
    </xf>
    <xf numFmtId="43" fontId="106" fillId="7" borderId="8" xfId="3" applyNumberFormat="1" applyFont="1" applyFill="1" applyBorder="1"/>
    <xf numFmtId="0" fontId="82" fillId="0" borderId="251" xfId="3" applyFont="1" applyFill="1" applyBorder="1"/>
    <xf numFmtId="43" fontId="105" fillId="0" borderId="0" xfId="3" applyNumberFormat="1" applyFont="1" applyFill="1" applyBorder="1"/>
    <xf numFmtId="0" fontId="79" fillId="0" borderId="0" xfId="3" applyFont="1" applyFill="1"/>
    <xf numFmtId="49" fontId="115" fillId="0" borderId="0" xfId="3" applyNumberFormat="1" applyFont="1" applyBorder="1" applyAlignment="1">
      <alignment horizontal="center"/>
    </xf>
    <xf numFmtId="43" fontId="96" fillId="0" borderId="0" xfId="3" applyNumberFormat="1" applyFont="1" applyFill="1" applyBorder="1" applyAlignment="1">
      <alignment horizontal="center"/>
    </xf>
    <xf numFmtId="0" fontId="84" fillId="0" borderId="0" xfId="3" applyNumberFormat="1" applyFont="1" applyFill="1" applyBorder="1" applyAlignment="1">
      <alignment horizontal="center"/>
    </xf>
    <xf numFmtId="0" fontId="82" fillId="0" borderId="0" xfId="3" applyFont="1" applyFill="1" applyBorder="1" applyAlignment="1">
      <alignment horizontal="left"/>
    </xf>
    <xf numFmtId="43" fontId="82" fillId="5" borderId="11" xfId="3" applyNumberFormat="1" applyFont="1" applyFill="1" applyBorder="1"/>
    <xf numFmtId="43" fontId="82" fillId="5" borderId="5" xfId="3" applyNumberFormat="1" applyFont="1" applyFill="1" applyBorder="1"/>
    <xf numFmtId="43" fontId="82" fillId="5" borderId="0" xfId="3" applyNumberFormat="1" applyFont="1" applyFill="1" applyBorder="1"/>
    <xf numFmtId="43" fontId="82" fillId="0" borderId="43" xfId="3" applyNumberFormat="1" applyFont="1" applyFill="1" applyBorder="1"/>
    <xf numFmtId="43" fontId="82" fillId="0" borderId="0" xfId="3" applyNumberFormat="1" applyFont="1" applyFill="1" applyBorder="1"/>
    <xf numFmtId="43" fontId="99" fillId="0" borderId="0" xfId="3" applyNumberFormat="1" applyFont="1" applyFill="1" applyBorder="1" applyAlignment="1">
      <alignment horizontal="center"/>
    </xf>
    <xf numFmtId="165" fontId="82" fillId="0" borderId="0" xfId="3" applyNumberFormat="1" applyFont="1" applyFill="1" applyBorder="1" applyAlignment="1">
      <alignment horizontal="center"/>
    </xf>
    <xf numFmtId="0" fontId="82" fillId="0" borderId="0" xfId="3" applyFont="1" applyFill="1" applyBorder="1" applyAlignment="1">
      <alignment horizontal="center"/>
    </xf>
    <xf numFmtId="0" fontId="82" fillId="0" borderId="0" xfId="3" applyNumberFormat="1" applyFont="1" applyFill="1" applyBorder="1" applyAlignment="1">
      <alignment horizontal="center"/>
    </xf>
    <xf numFmtId="16" fontId="94" fillId="0" borderId="352" xfId="3" applyNumberFormat="1" applyFont="1" applyFill="1" applyBorder="1" applyAlignment="1">
      <alignment horizontal="center" vertical="center"/>
    </xf>
    <xf numFmtId="49" fontId="82" fillId="0" borderId="0" xfId="3" applyNumberFormat="1" applyFont="1" applyBorder="1"/>
    <xf numFmtId="43" fontId="109" fillId="0" borderId="344" xfId="3" applyNumberFormat="1" applyFont="1" applyFill="1" applyBorder="1"/>
    <xf numFmtId="0" fontId="95" fillId="0" borderId="0" xfId="3" applyFont="1" applyFill="1" applyBorder="1" applyAlignment="1">
      <alignment horizontal="center"/>
    </xf>
    <xf numFmtId="0" fontId="95" fillId="0" borderId="203" xfId="3" applyFont="1" applyFill="1" applyBorder="1" applyAlignment="1"/>
    <xf numFmtId="0" fontId="95" fillId="0" borderId="276" xfId="3" applyFont="1" applyFill="1" applyBorder="1" applyAlignment="1"/>
    <xf numFmtId="43" fontId="106" fillId="5" borderId="277" xfId="3" applyNumberFormat="1" applyFont="1" applyFill="1" applyBorder="1"/>
    <xf numFmtId="0" fontId="79" fillId="0" borderId="277" xfId="3" applyFont="1" applyBorder="1" applyAlignment="1">
      <alignment horizontal="center"/>
    </xf>
    <xf numFmtId="43" fontId="106" fillId="5" borderId="278" xfId="3" applyNumberFormat="1" applyFont="1" applyFill="1" applyBorder="1" applyAlignment="1">
      <alignment horizontal="center"/>
    </xf>
    <xf numFmtId="43" fontId="106" fillId="0" borderId="43" xfId="3" applyNumberFormat="1" applyFont="1" applyFill="1" applyBorder="1"/>
    <xf numFmtId="43" fontId="106" fillId="0" borderId="0" xfId="3" applyNumberFormat="1" applyFont="1" applyFill="1" applyBorder="1"/>
    <xf numFmtId="43" fontId="112" fillId="0" borderId="0" xfId="3" applyNumberFormat="1" applyFont="1" applyFill="1" applyBorder="1"/>
    <xf numFmtId="43" fontId="106" fillId="28" borderId="257" xfId="3" applyNumberFormat="1" applyFont="1" applyFill="1" applyBorder="1"/>
    <xf numFmtId="43" fontId="93" fillId="0" borderId="8" xfId="3" applyNumberFormat="1" applyFont="1" applyBorder="1"/>
    <xf numFmtId="43" fontId="93" fillId="0" borderId="9" xfId="3" applyNumberFormat="1" applyFont="1" applyBorder="1" applyAlignment="1">
      <alignment vertical="center"/>
    </xf>
    <xf numFmtId="43" fontId="112" fillId="0" borderId="1" xfId="3" applyNumberFormat="1" applyFont="1" applyFill="1" applyBorder="1"/>
    <xf numFmtId="0" fontId="79" fillId="0" borderId="0" xfId="3" applyFont="1" applyFill="1" applyBorder="1" applyAlignment="1"/>
    <xf numFmtId="43" fontId="109" fillId="0" borderId="0" xfId="3" applyNumberFormat="1" applyFont="1" applyFill="1" applyBorder="1"/>
    <xf numFmtId="43" fontId="116" fillId="0" borderId="0" xfId="3" applyNumberFormat="1" applyFont="1" applyFill="1" applyBorder="1" applyAlignment="1">
      <alignment horizontal="center"/>
    </xf>
    <xf numFmtId="0" fontId="79" fillId="0" borderId="11" xfId="3" applyFont="1" applyFill="1" applyBorder="1"/>
    <xf numFmtId="1" fontId="92" fillId="0" borderId="11" xfId="3" applyNumberFormat="1" applyFont="1" applyFill="1" applyBorder="1" applyAlignment="1">
      <alignment horizontal="center"/>
    </xf>
    <xf numFmtId="1" fontId="88" fillId="0" borderId="11" xfId="3" applyNumberFormat="1" applyFont="1" applyFill="1" applyBorder="1" applyAlignment="1">
      <alignment horizontal="center"/>
    </xf>
    <xf numFmtId="1" fontId="91" fillId="0" borderId="11" xfId="3" applyNumberFormat="1" applyFont="1" applyBorder="1" applyAlignment="1">
      <alignment horizontal="center"/>
    </xf>
    <xf numFmtId="43" fontId="81" fillId="0" borderId="0" xfId="3" applyNumberFormat="1" applyFont="1" applyFill="1" applyBorder="1"/>
    <xf numFmtId="43" fontId="82" fillId="0" borderId="0" xfId="3" applyNumberFormat="1" applyFont="1" applyFill="1" applyBorder="1" applyAlignment="1">
      <alignment horizontal="center"/>
    </xf>
    <xf numFmtId="43" fontId="99" fillId="0" borderId="0" xfId="3" applyNumberFormat="1" applyFont="1" applyFill="1" applyBorder="1"/>
    <xf numFmtId="43" fontId="94" fillId="0" borderId="0" xfId="3" applyNumberFormat="1" applyFont="1" applyFill="1" applyBorder="1"/>
    <xf numFmtId="0" fontId="79" fillId="0" borderId="0" xfId="3" applyFont="1" applyFill="1" applyBorder="1" applyAlignment="1">
      <alignment horizontal="center"/>
    </xf>
    <xf numFmtId="43" fontId="107" fillId="0" borderId="0" xfId="3" applyNumberFormat="1" applyFont="1" applyFill="1" applyBorder="1"/>
    <xf numFmtId="1" fontId="106" fillId="0" borderId="0" xfId="3" applyNumberFormat="1" applyFont="1" applyFill="1" applyBorder="1" applyAlignment="1">
      <alignment horizontal="center"/>
    </xf>
    <xf numFmtId="0" fontId="107" fillId="0" borderId="0" xfId="3" applyFont="1" applyFill="1" applyBorder="1" applyAlignment="1"/>
    <xf numFmtId="1" fontId="92" fillId="0" borderId="0" xfId="3" applyNumberFormat="1" applyFont="1" applyBorder="1" applyAlignment="1">
      <alignment horizontal="center" vertical="center"/>
    </xf>
    <xf numFmtId="0" fontId="99" fillId="0" borderId="11" xfId="3" applyFont="1" applyBorder="1" applyAlignment="1">
      <alignment horizontal="center"/>
    </xf>
    <xf numFmtId="1" fontId="93" fillId="0" borderId="11" xfId="3" applyNumberFormat="1" applyFont="1" applyFill="1" applyBorder="1" applyAlignment="1">
      <alignment horizontal="center"/>
    </xf>
    <xf numFmtId="0" fontId="93" fillId="0" borderId="11" xfId="3" applyFont="1" applyFill="1" applyBorder="1" applyAlignment="1">
      <alignment horizontal="center"/>
    </xf>
    <xf numFmtId="1" fontId="82" fillId="0" borderId="0" xfId="3" applyNumberFormat="1" applyFont="1" applyAlignment="1">
      <alignment horizontal="center"/>
    </xf>
    <xf numFmtId="1" fontId="81" fillId="0" borderId="0" xfId="3" applyNumberFormat="1" applyFont="1" applyAlignment="1">
      <alignment horizontal="center"/>
    </xf>
    <xf numFmtId="1" fontId="82" fillId="0" borderId="0" xfId="3" applyNumberFormat="1" applyFont="1" applyBorder="1" applyAlignment="1">
      <alignment horizontal="center"/>
    </xf>
    <xf numFmtId="1" fontId="79" fillId="0" borderId="0" xfId="3" applyNumberFormat="1" applyFont="1" applyAlignment="1">
      <alignment horizontal="center"/>
    </xf>
    <xf numFmtId="1" fontId="90" fillId="7" borderId="2" xfId="3" applyNumberFormat="1" applyFont="1" applyFill="1" applyBorder="1" applyAlignment="1">
      <alignment horizontal="center"/>
    </xf>
    <xf numFmtId="1" fontId="79" fillId="7" borderId="3" xfId="3" applyNumberFormat="1" applyFont="1" applyFill="1" applyBorder="1" applyAlignment="1">
      <alignment horizontal="center"/>
    </xf>
    <xf numFmtId="1" fontId="96" fillId="7" borderId="3" xfId="3" applyNumberFormat="1" applyFont="1" applyFill="1" applyBorder="1" applyAlignment="1"/>
    <xf numFmtId="1" fontId="90" fillId="7" borderId="4" xfId="3" applyNumberFormat="1" applyFont="1" applyFill="1" applyBorder="1" applyAlignment="1">
      <alignment horizontal="center"/>
    </xf>
    <xf numFmtId="1" fontId="82" fillId="0" borderId="0" xfId="3" applyNumberFormat="1" applyFont="1" applyFill="1" applyBorder="1" applyAlignment="1">
      <alignment horizontal="center"/>
    </xf>
    <xf numFmtId="0" fontId="87" fillId="0" borderId="0" xfId="3" applyFont="1" applyBorder="1" applyAlignment="1"/>
    <xf numFmtId="1" fontId="94" fillId="0" borderId="5" xfId="3" applyNumberFormat="1" applyFont="1" applyBorder="1" applyAlignment="1">
      <alignment horizontal="center" vertical="center"/>
    </xf>
    <xf numFmtId="1" fontId="79" fillId="0" borderId="0" xfId="3" applyNumberFormat="1" applyFont="1" applyFill="1" applyBorder="1" applyAlignment="1">
      <alignment horizontal="center"/>
    </xf>
    <xf numFmtId="1" fontId="80" fillId="0" borderId="11" xfId="3" applyNumberFormat="1" applyFont="1" applyBorder="1" applyAlignment="1">
      <alignment horizontal="center"/>
    </xf>
    <xf numFmtId="1" fontId="94" fillId="0" borderId="11" xfId="3" applyNumberFormat="1" applyFont="1" applyFill="1" applyBorder="1" applyAlignment="1">
      <alignment horizontal="center"/>
    </xf>
    <xf numFmtId="1" fontId="95" fillId="0" borderId="11" xfId="3" applyNumberFormat="1" applyFont="1" applyBorder="1" applyAlignment="1">
      <alignment horizontal="center"/>
    </xf>
    <xf numFmtId="1" fontId="94" fillId="0" borderId="0" xfId="3" applyNumberFormat="1" applyFont="1" applyAlignment="1">
      <alignment horizontal="center"/>
    </xf>
    <xf numFmtId="1" fontId="88" fillId="7" borderId="11" xfId="3" applyNumberFormat="1" applyFont="1" applyFill="1" applyBorder="1" applyAlignment="1">
      <alignment horizontal="center"/>
    </xf>
    <xf numFmtId="1" fontId="93" fillId="36" borderId="0" xfId="3" applyNumberFormat="1" applyFont="1" applyFill="1" applyBorder="1" applyAlignment="1">
      <alignment horizontal="center"/>
    </xf>
    <xf numFmtId="1" fontId="88" fillId="7" borderId="11" xfId="3" applyNumberFormat="1" applyFont="1" applyFill="1" applyBorder="1" applyAlignment="1">
      <alignment horizontal="center" vertical="center"/>
    </xf>
    <xf numFmtId="1" fontId="90" fillId="36" borderId="6" xfId="3" applyNumberFormat="1" applyFont="1" applyFill="1" applyBorder="1" applyAlignment="1">
      <alignment horizontal="center"/>
    </xf>
    <xf numFmtId="0" fontId="106" fillId="0" borderId="0" xfId="3" applyFont="1"/>
    <xf numFmtId="0" fontId="106" fillId="0" borderId="0" xfId="3" applyFont="1" applyBorder="1" applyAlignment="1">
      <alignment horizontal="center"/>
    </xf>
    <xf numFmtId="1" fontId="86" fillId="7" borderId="2" xfId="3" applyNumberFormat="1" applyFont="1" applyFill="1" applyBorder="1" applyAlignment="1">
      <alignment horizontal="center" vertical="center"/>
    </xf>
    <xf numFmtId="1" fontId="79" fillId="7" borderId="15" xfId="3" applyNumberFormat="1" applyFont="1" applyFill="1" applyBorder="1" applyAlignment="1">
      <alignment horizontal="center"/>
    </xf>
    <xf numFmtId="1" fontId="95" fillId="0" borderId="11" xfId="3" applyNumberFormat="1" applyFont="1" applyFill="1" applyBorder="1" applyAlignment="1">
      <alignment horizontal="center"/>
    </xf>
    <xf numFmtId="0" fontId="83" fillId="0" borderId="0" xfId="3" applyFont="1" applyFill="1" applyBorder="1" applyAlignment="1">
      <alignment vertical="center"/>
    </xf>
    <xf numFmtId="0" fontId="94" fillId="0" borderId="5" xfId="3" applyFont="1" applyFill="1" applyBorder="1" applyAlignment="1">
      <alignment horizontal="center" vertical="center"/>
    </xf>
    <xf numFmtId="1" fontId="98" fillId="7" borderId="5" xfId="3" applyNumberFormat="1" applyFont="1" applyFill="1" applyBorder="1" applyAlignment="1">
      <alignment horizontal="center"/>
    </xf>
    <xf numFmtId="0" fontId="85" fillId="0" borderId="7" xfId="3" applyFont="1" applyFill="1" applyBorder="1" applyAlignment="1">
      <alignment vertical="center"/>
    </xf>
    <xf numFmtId="0" fontId="85" fillId="0" borderId="8" xfId="3" applyFont="1" applyFill="1" applyBorder="1" applyAlignment="1">
      <alignment horizontal="center" vertical="center"/>
    </xf>
    <xf numFmtId="0" fontId="118" fillId="36" borderId="0" xfId="3" applyFont="1" applyFill="1" applyBorder="1" applyAlignment="1"/>
    <xf numFmtId="0" fontId="83" fillId="0" borderId="0" xfId="3" applyFont="1" applyBorder="1" applyAlignment="1"/>
    <xf numFmtId="0" fontId="106" fillId="0" borderId="7" xfId="3" applyFont="1" applyFill="1" applyBorder="1" applyAlignment="1">
      <alignment horizontal="center" vertical="center"/>
    </xf>
    <xf numFmtId="1" fontId="119" fillId="0" borderId="0" xfId="3" applyNumberFormat="1" applyFont="1" applyBorder="1" applyAlignment="1">
      <alignment vertical="center"/>
    </xf>
    <xf numFmtId="0" fontId="120" fillId="7" borderId="1" xfId="3" applyFont="1" applyFill="1" applyBorder="1" applyAlignment="1">
      <alignment horizontal="center"/>
    </xf>
    <xf numFmtId="0" fontId="120" fillId="7" borderId="1" xfId="3" applyFont="1" applyFill="1" applyBorder="1" applyAlignment="1">
      <alignment horizontal="center" vertical="center"/>
    </xf>
    <xf numFmtId="0" fontId="94" fillId="0" borderId="11" xfId="3" applyFont="1" applyFill="1" applyBorder="1" applyAlignment="1">
      <alignment horizontal="center"/>
    </xf>
    <xf numFmtId="0" fontId="85" fillId="0" borderId="327" xfId="3" applyFont="1" applyFill="1" applyBorder="1" applyAlignment="1">
      <alignment vertical="center"/>
    </xf>
    <xf numFmtId="0" fontId="85" fillId="0" borderId="9" xfId="3" applyFont="1" applyFill="1" applyBorder="1" applyAlignment="1">
      <alignment vertical="center"/>
    </xf>
    <xf numFmtId="0" fontId="112" fillId="0" borderId="7" xfId="3" applyFont="1" applyFill="1" applyBorder="1" applyAlignment="1">
      <alignment horizontal="center" vertical="center"/>
    </xf>
    <xf numFmtId="0" fontId="106" fillId="7" borderId="10" xfId="3" applyFont="1" applyFill="1" applyBorder="1" applyAlignment="1">
      <alignment horizontal="center"/>
    </xf>
    <xf numFmtId="0" fontId="85" fillId="0" borderId="0" xfId="3" applyFont="1" applyFill="1" applyBorder="1" applyAlignment="1">
      <alignment horizontal="center" vertical="center"/>
    </xf>
    <xf numFmtId="0" fontId="99" fillId="36" borderId="1" xfId="3" applyFont="1" applyFill="1" applyBorder="1" applyAlignment="1">
      <alignment horizontal="center" vertical="center"/>
    </xf>
    <xf numFmtId="0" fontId="93" fillId="9" borderId="1" xfId="3" applyFont="1" applyFill="1" applyBorder="1" applyAlignment="1">
      <alignment horizontal="center" vertical="center"/>
    </xf>
    <xf numFmtId="0" fontId="99" fillId="7" borderId="1" xfId="3" applyFont="1" applyFill="1" applyBorder="1" applyAlignment="1">
      <alignment horizontal="center" vertical="center"/>
    </xf>
    <xf numFmtId="0" fontId="121" fillId="7" borderId="1" xfId="3" applyFont="1" applyFill="1" applyBorder="1" applyAlignment="1">
      <alignment vertical="center"/>
    </xf>
    <xf numFmtId="0" fontId="99" fillId="0" borderId="1" xfId="3" applyFont="1" applyBorder="1" applyAlignment="1">
      <alignment horizontal="center"/>
    </xf>
    <xf numFmtId="0" fontId="105" fillId="36" borderId="1" xfId="3" applyFont="1" applyFill="1" applyBorder="1"/>
    <xf numFmtId="0" fontId="105" fillId="36" borderId="7" xfId="3" applyFont="1" applyFill="1" applyBorder="1"/>
    <xf numFmtId="0" fontId="121" fillId="7" borderId="6" xfId="3" applyFont="1" applyFill="1" applyBorder="1" applyAlignment="1">
      <alignment horizontal="center" vertical="center"/>
    </xf>
    <xf numFmtId="0" fontId="105" fillId="0" borderId="11" xfId="3" applyFont="1" applyBorder="1"/>
    <xf numFmtId="0" fontId="105" fillId="0" borderId="0" xfId="3" applyFont="1" applyFill="1" applyBorder="1"/>
    <xf numFmtId="49" fontId="82" fillId="0" borderId="12" xfId="3" applyNumberFormat="1" applyFont="1" applyBorder="1"/>
    <xf numFmtId="0" fontId="82" fillId="0" borderId="325" xfId="3" applyFont="1" applyBorder="1"/>
    <xf numFmtId="0" fontId="82" fillId="0" borderId="10" xfId="3" applyFont="1" applyBorder="1"/>
    <xf numFmtId="0" fontId="108" fillId="0" borderId="290" xfId="3" applyFont="1" applyBorder="1" applyAlignment="1">
      <alignment horizontal="center"/>
    </xf>
    <xf numFmtId="49" fontId="92" fillId="0" borderId="13" xfId="3" applyNumberFormat="1" applyFont="1" applyBorder="1" applyAlignment="1">
      <alignment horizontal="center"/>
    </xf>
    <xf numFmtId="0" fontId="82" fillId="0" borderId="282" xfId="3" applyFont="1" applyBorder="1" applyAlignment="1">
      <alignment horizontal="center"/>
    </xf>
    <xf numFmtId="0" fontId="82" fillId="0" borderId="7" xfId="3" applyFont="1" applyBorder="1" applyAlignment="1">
      <alignment horizontal="center"/>
    </xf>
    <xf numFmtId="0" fontId="81" fillId="0" borderId="7" xfId="3" applyNumberFormat="1" applyFont="1" applyBorder="1" applyAlignment="1">
      <alignment horizontal="center"/>
    </xf>
    <xf numFmtId="0" fontId="82" fillId="0" borderId="283" xfId="3" applyNumberFormat="1" applyFont="1" applyBorder="1" applyAlignment="1">
      <alignment horizontal="center"/>
    </xf>
    <xf numFmtId="43" fontId="82" fillId="0" borderId="260" xfId="3" applyNumberFormat="1" applyFont="1" applyFill="1" applyBorder="1"/>
    <xf numFmtId="0" fontId="105" fillId="0" borderId="1" xfId="3" applyFont="1" applyBorder="1" applyAlignment="1">
      <alignment horizontal="center"/>
    </xf>
    <xf numFmtId="0" fontId="122" fillId="0" borderId="1" xfId="3" applyFont="1" applyBorder="1" applyAlignment="1">
      <alignment horizontal="center"/>
    </xf>
    <xf numFmtId="0" fontId="106" fillId="7" borderId="21" xfId="3" applyFont="1" applyFill="1" applyBorder="1" applyAlignment="1">
      <alignment horizontal="center"/>
    </xf>
    <xf numFmtId="0" fontId="105" fillId="0" borderId="4" xfId="3" applyFont="1" applyBorder="1" applyAlignment="1">
      <alignment horizontal="center"/>
    </xf>
    <xf numFmtId="0" fontId="123" fillId="0" borderId="21" xfId="3" applyFont="1" applyFill="1" applyBorder="1" applyAlignment="1">
      <alignment vertical="center"/>
    </xf>
    <xf numFmtId="0" fontId="110" fillId="0" borderId="21" xfId="3" applyFont="1" applyFill="1" applyBorder="1" applyAlignment="1">
      <alignment horizontal="center" vertical="center"/>
    </xf>
    <xf numFmtId="0" fontId="82" fillId="36" borderId="21" xfId="3" applyFont="1" applyFill="1" applyBorder="1" applyAlignment="1">
      <alignment horizontal="center"/>
    </xf>
    <xf numFmtId="0" fontId="99" fillId="0" borderId="21" xfId="3" applyFont="1" applyBorder="1" applyAlignment="1">
      <alignment horizontal="center"/>
    </xf>
    <xf numFmtId="0" fontId="99" fillId="7" borderId="21" xfId="3" applyFont="1" applyFill="1" applyBorder="1" applyAlignment="1">
      <alignment horizontal="center"/>
    </xf>
    <xf numFmtId="0" fontId="122" fillId="36" borderId="21" xfId="3" applyFont="1" applyFill="1" applyBorder="1" applyAlignment="1">
      <alignment horizontal="center"/>
    </xf>
    <xf numFmtId="0" fontId="122" fillId="7" borderId="21" xfId="3" applyFont="1" applyFill="1" applyBorder="1" applyAlignment="1">
      <alignment horizontal="center"/>
    </xf>
    <xf numFmtId="0" fontId="122" fillId="0" borderId="0" xfId="3" applyFont="1" applyBorder="1" applyAlignment="1">
      <alignment horizontal="center"/>
    </xf>
    <xf numFmtId="0" fontId="82" fillId="36" borderId="0" xfId="3" applyFont="1" applyFill="1" applyAlignment="1">
      <alignment horizontal="center"/>
    </xf>
    <xf numFmtId="0" fontId="82" fillId="0" borderId="11" xfId="3" applyFont="1" applyBorder="1" applyAlignment="1"/>
    <xf numFmtId="49" fontId="84" fillId="0" borderId="11" xfId="3" applyNumberFormat="1" applyFont="1" applyBorder="1" applyAlignment="1"/>
    <xf numFmtId="170" fontId="99" fillId="0" borderId="284" xfId="3" applyNumberFormat="1" applyFont="1" applyBorder="1" applyAlignment="1">
      <alignment horizontal="left"/>
    </xf>
    <xf numFmtId="0" fontId="79" fillId="9" borderId="254" xfId="3" applyNumberFormat="1" applyFont="1" applyFill="1" applyBorder="1" applyAlignment="1"/>
    <xf numFmtId="43" fontId="112" fillId="9" borderId="256" xfId="3" applyNumberFormat="1" applyFont="1" applyFill="1" applyBorder="1" applyAlignment="1">
      <alignment horizontal="center"/>
    </xf>
    <xf numFmtId="1" fontId="105" fillId="0" borderId="0" xfId="3" applyNumberFormat="1" applyFont="1" applyFill="1"/>
    <xf numFmtId="0" fontId="79" fillId="2" borderId="1" xfId="3" applyNumberFormat="1" applyFont="1" applyFill="1" applyBorder="1"/>
    <xf numFmtId="0" fontId="79" fillId="0" borderId="1" xfId="3" applyNumberFormat="1" applyFont="1" applyFill="1" applyBorder="1"/>
    <xf numFmtId="0" fontId="82" fillId="5" borderId="261" xfId="3" applyFont="1" applyFill="1" applyBorder="1" applyAlignment="1">
      <alignment horizontal="left"/>
    </xf>
    <xf numFmtId="1" fontId="82" fillId="9" borderId="282" xfId="3" applyNumberFormat="1" applyFont="1" applyFill="1" applyBorder="1"/>
    <xf numFmtId="43" fontId="82" fillId="9" borderId="21" xfId="3" applyNumberFormat="1" applyFont="1" applyFill="1" applyBorder="1" applyAlignment="1">
      <alignment horizontal="center"/>
    </xf>
    <xf numFmtId="43" fontId="82" fillId="9" borderId="21" xfId="3" applyNumberFormat="1" applyFont="1" applyFill="1" applyBorder="1"/>
    <xf numFmtId="43" fontId="81" fillId="9" borderId="21" xfId="3" applyNumberFormat="1" applyFont="1" applyFill="1" applyBorder="1"/>
    <xf numFmtId="43" fontId="82" fillId="9" borderId="285" xfId="3" applyNumberFormat="1" applyFont="1" applyFill="1" applyBorder="1" applyAlignment="1">
      <alignment horizontal="center"/>
    </xf>
    <xf numFmtId="9" fontId="82" fillId="0" borderId="1" xfId="3" applyNumberFormat="1" applyFont="1" applyFill="1" applyBorder="1" applyAlignment="1">
      <alignment horizontal="center"/>
    </xf>
    <xf numFmtId="9" fontId="82" fillId="0" borderId="1" xfId="3" applyNumberFormat="1" applyFont="1" applyFill="1" applyBorder="1" applyAlignment="1">
      <alignment horizontal="center" vertical="center"/>
    </xf>
    <xf numFmtId="43" fontId="124" fillId="7" borderId="1" xfId="3" applyNumberFormat="1" applyFont="1" applyFill="1" applyBorder="1"/>
    <xf numFmtId="9" fontId="82" fillId="0" borderId="12" xfId="3" applyNumberFormat="1" applyFont="1" applyFill="1" applyBorder="1" applyAlignment="1">
      <alignment horizontal="center"/>
    </xf>
    <xf numFmtId="43" fontId="82" fillId="36" borderId="1" xfId="3" applyNumberFormat="1" applyFont="1" applyFill="1" applyBorder="1"/>
    <xf numFmtId="167" fontId="82" fillId="0" borderId="1" xfId="3" applyNumberFormat="1" applyFont="1" applyFill="1" applyBorder="1" applyAlignment="1">
      <alignment horizontal="center"/>
    </xf>
    <xf numFmtId="43" fontId="82" fillId="7" borderId="1" xfId="3" applyNumberFormat="1" applyFont="1" applyFill="1" applyBorder="1"/>
    <xf numFmtId="43" fontId="82" fillId="0" borderId="13" xfId="3" applyNumberFormat="1" applyFont="1" applyFill="1" applyBorder="1" applyAlignment="1">
      <alignment horizontal="center"/>
    </xf>
    <xf numFmtId="43" fontId="82" fillId="29" borderId="1" xfId="3" applyNumberFormat="1" applyFont="1" applyFill="1" applyBorder="1"/>
    <xf numFmtId="43" fontId="82" fillId="0" borderId="12" xfId="3" applyNumberFormat="1" applyFont="1" applyFill="1" applyBorder="1"/>
    <xf numFmtId="49" fontId="82" fillId="0" borderId="156" xfId="3" applyNumberFormat="1" applyFont="1" applyBorder="1"/>
    <xf numFmtId="0" fontId="82" fillId="6" borderId="12" xfId="3" applyNumberFormat="1" applyFont="1" applyFill="1" applyBorder="1" applyAlignment="1"/>
    <xf numFmtId="49" fontId="82" fillId="6" borderId="12" xfId="3" applyNumberFormat="1" applyFont="1" applyFill="1" applyBorder="1" applyAlignment="1"/>
    <xf numFmtId="170" fontId="82" fillId="6" borderId="12" xfId="3" applyNumberFormat="1" applyFont="1" applyFill="1" applyBorder="1" applyAlignment="1"/>
    <xf numFmtId="0" fontId="79" fillId="0" borderId="327" xfId="3" applyFont="1" applyBorder="1" applyAlignment="1">
      <alignment horizontal="center"/>
    </xf>
    <xf numFmtId="43" fontId="82" fillId="9" borderId="329" xfId="3" applyNumberFormat="1" applyFont="1" applyFill="1" applyBorder="1"/>
    <xf numFmtId="170" fontId="99" fillId="0" borderId="0" xfId="3" applyNumberFormat="1" applyFont="1" applyAlignment="1">
      <alignment horizontal="left"/>
    </xf>
    <xf numFmtId="0" fontId="79" fillId="9" borderId="260" xfId="3" applyNumberFormat="1" applyFont="1" applyFill="1" applyBorder="1" applyAlignment="1"/>
    <xf numFmtId="0" fontId="79" fillId="9" borderId="1" xfId="3" applyFont="1" applyFill="1" applyBorder="1" applyAlignment="1">
      <alignment horizontal="left"/>
    </xf>
    <xf numFmtId="43" fontId="112" fillId="9" borderId="261" xfId="3" applyNumberFormat="1" applyFont="1" applyFill="1" applyBorder="1" applyAlignment="1">
      <alignment horizontal="center"/>
    </xf>
    <xf numFmtId="1" fontId="82" fillId="9" borderId="260" xfId="3" applyNumberFormat="1" applyFont="1" applyFill="1" applyBorder="1"/>
    <xf numFmtId="43" fontId="82" fillId="9" borderId="1" xfId="3" applyNumberFormat="1" applyFont="1" applyFill="1" applyBorder="1"/>
    <xf numFmtId="43" fontId="81" fillId="9" borderId="1" xfId="3" applyNumberFormat="1" applyFont="1" applyFill="1" applyBorder="1"/>
    <xf numFmtId="43" fontId="82" fillId="9" borderId="261" xfId="3" applyNumberFormat="1" applyFont="1" applyFill="1" applyBorder="1" applyAlignment="1">
      <alignment horizontal="center"/>
    </xf>
    <xf numFmtId="43" fontId="82" fillId="0" borderId="260" xfId="3" applyNumberFormat="1" applyFont="1" applyBorder="1"/>
    <xf numFmtId="0" fontId="82" fillId="0" borderId="156" xfId="3" applyNumberFormat="1" applyFont="1" applyBorder="1"/>
    <xf numFmtId="170" fontId="99" fillId="0" borderId="286" xfId="3" applyNumberFormat="1" applyFont="1" applyBorder="1" applyAlignment="1">
      <alignment horizontal="left"/>
    </xf>
    <xf numFmtId="49" fontId="82" fillId="9" borderId="1" xfId="3" applyNumberFormat="1" applyFont="1" applyFill="1" applyBorder="1" applyAlignment="1">
      <alignment horizontal="left"/>
    </xf>
    <xf numFmtId="43" fontId="81" fillId="9" borderId="1" xfId="3" applyNumberFormat="1" applyFont="1" applyFill="1" applyBorder="1" applyAlignment="1">
      <alignment horizontal="center"/>
    </xf>
    <xf numFmtId="43" fontId="79" fillId="0" borderId="0" xfId="3" applyNumberFormat="1" applyFont="1" applyFill="1" applyBorder="1" applyAlignment="1">
      <alignment horizontal="left"/>
    </xf>
    <xf numFmtId="43" fontId="82" fillId="9" borderId="11" xfId="3" applyNumberFormat="1" applyFont="1" applyFill="1" applyBorder="1"/>
    <xf numFmtId="0" fontId="82" fillId="9" borderId="1" xfId="3" applyFont="1" applyFill="1" applyBorder="1" applyAlignment="1">
      <alignment horizontal="left"/>
    </xf>
    <xf numFmtId="170" fontId="99" fillId="0" borderId="286" xfId="3" applyNumberFormat="1" applyFont="1" applyFill="1" applyBorder="1" applyAlignment="1">
      <alignment horizontal="left"/>
    </xf>
    <xf numFmtId="170" fontId="99" fillId="0" borderId="288" xfId="3" applyNumberFormat="1" applyFont="1" applyBorder="1" applyAlignment="1">
      <alignment horizontal="left"/>
    </xf>
    <xf numFmtId="1" fontId="82" fillId="9" borderId="289" xfId="3" applyNumberFormat="1" applyFont="1" applyFill="1" applyBorder="1"/>
    <xf numFmtId="43" fontId="82" fillId="9" borderId="10" xfId="3" applyNumberFormat="1" applyFont="1" applyFill="1" applyBorder="1"/>
    <xf numFmtId="43" fontId="81" fillId="9" borderId="75" xfId="3" applyNumberFormat="1" applyFont="1" applyFill="1" applyBorder="1" applyAlignment="1">
      <alignment horizontal="center"/>
    </xf>
    <xf numFmtId="43" fontId="82" fillId="9" borderId="290" xfId="3" applyNumberFormat="1" applyFont="1" applyFill="1" applyBorder="1" applyAlignment="1">
      <alignment horizontal="center"/>
    </xf>
    <xf numFmtId="170" fontId="99" fillId="0" borderId="0" xfId="3" applyNumberFormat="1" applyFont="1" applyBorder="1" applyAlignment="1">
      <alignment horizontal="left"/>
    </xf>
    <xf numFmtId="0" fontId="82" fillId="9" borderId="291" xfId="3" applyFont="1" applyFill="1" applyBorder="1"/>
    <xf numFmtId="43" fontId="81" fillId="9" borderId="20" xfId="3" applyNumberFormat="1" applyFont="1" applyFill="1" applyBorder="1" applyAlignment="1">
      <alignment horizontal="center"/>
    </xf>
    <xf numFmtId="43" fontId="82" fillId="9" borderId="274" xfId="3" applyNumberFormat="1" applyFont="1" applyFill="1" applyBorder="1" applyAlignment="1">
      <alignment horizontal="center"/>
    </xf>
    <xf numFmtId="43" fontId="82" fillId="0" borderId="4" xfId="3" applyNumberFormat="1" applyFont="1" applyFill="1" applyBorder="1" applyAlignment="1">
      <alignment horizontal="center"/>
    </xf>
    <xf numFmtId="43" fontId="82" fillId="0" borderId="2" xfId="3" applyNumberFormat="1" applyFont="1" applyFill="1" applyBorder="1"/>
    <xf numFmtId="49" fontId="82" fillId="6" borderId="2" xfId="3" applyNumberFormat="1" applyFont="1" applyFill="1" applyBorder="1" applyAlignment="1"/>
    <xf numFmtId="0" fontId="79" fillId="9" borderId="326" xfId="3" applyNumberFormat="1" applyFont="1" applyFill="1" applyBorder="1" applyAlignment="1"/>
    <xf numFmtId="0" fontId="82" fillId="9" borderId="245" xfId="3" applyFont="1" applyFill="1" applyBorder="1" applyAlignment="1">
      <alignment horizontal="left"/>
    </xf>
    <xf numFmtId="43" fontId="125" fillId="9" borderId="264" xfId="3" applyNumberFormat="1" applyFont="1" applyFill="1" applyBorder="1" applyAlignment="1">
      <alignment horizontal="center"/>
    </xf>
    <xf numFmtId="0" fontId="82" fillId="9" borderId="292" xfId="3" applyFont="1" applyFill="1" applyBorder="1"/>
    <xf numFmtId="0" fontId="82" fillId="9" borderId="188" xfId="3" applyFont="1" applyFill="1" applyBorder="1"/>
    <xf numFmtId="0" fontId="81" fillId="9" borderId="188" xfId="3" applyNumberFormat="1" applyFont="1" applyFill="1" applyBorder="1" applyAlignment="1">
      <alignment horizontal="center"/>
    </xf>
    <xf numFmtId="43" fontId="82" fillId="9" borderId="293" xfId="3" applyNumberFormat="1" applyFont="1" applyFill="1" applyBorder="1" applyAlignment="1">
      <alignment horizontal="center"/>
    </xf>
    <xf numFmtId="43" fontId="124" fillId="7" borderId="75" xfId="3" applyNumberFormat="1" applyFont="1" applyFill="1" applyBorder="1"/>
    <xf numFmtId="43" fontId="82" fillId="7" borderId="75" xfId="3" applyNumberFormat="1" applyFont="1" applyFill="1" applyBorder="1"/>
    <xf numFmtId="43" fontId="82" fillId="0" borderId="131" xfId="3" applyNumberFormat="1" applyFont="1" applyFill="1" applyBorder="1" applyAlignment="1">
      <alignment horizontal="center"/>
    </xf>
    <xf numFmtId="43" fontId="82" fillId="0" borderId="263" xfId="3" applyNumberFormat="1" applyFont="1" applyFill="1" applyBorder="1"/>
    <xf numFmtId="0" fontId="82" fillId="0" borderId="149" xfId="3" applyFont="1" applyBorder="1"/>
    <xf numFmtId="49" fontId="82" fillId="0" borderId="5" xfId="3" applyNumberFormat="1" applyFont="1" applyFill="1" applyBorder="1"/>
    <xf numFmtId="0" fontId="79" fillId="0" borderId="295" xfId="3" applyFont="1" applyFill="1" applyBorder="1" applyAlignment="1">
      <alignment horizontal="center"/>
    </xf>
    <xf numFmtId="0" fontId="82" fillId="0" borderId="11" xfId="3" applyFont="1" applyFill="1" applyBorder="1"/>
    <xf numFmtId="43" fontId="94" fillId="0" borderId="274" xfId="3" applyNumberFormat="1" applyFont="1" applyFill="1" applyBorder="1" applyAlignment="1">
      <alignment horizontal="center" vertical="center"/>
    </xf>
    <xf numFmtId="43" fontId="125" fillId="0" borderId="6" xfId="3" applyNumberFormat="1" applyFont="1" applyFill="1" applyBorder="1" applyAlignment="1">
      <alignment horizontal="center"/>
    </xf>
    <xf numFmtId="0" fontId="84" fillId="0" borderId="11" xfId="3" applyNumberFormat="1" applyFont="1" applyFill="1" applyBorder="1" applyAlignment="1">
      <alignment horizontal="center"/>
    </xf>
    <xf numFmtId="0" fontId="84" fillId="0" borderId="5" xfId="3" applyNumberFormat="1" applyFont="1" applyFill="1" applyBorder="1" applyAlignment="1">
      <alignment horizontal="center"/>
    </xf>
    <xf numFmtId="0" fontId="82" fillId="5" borderId="5" xfId="3" applyFont="1" applyFill="1" applyBorder="1" applyAlignment="1">
      <alignment horizontal="left"/>
    </xf>
    <xf numFmtId="0" fontId="82" fillId="0" borderId="295" xfId="3" applyFont="1" applyFill="1" applyBorder="1"/>
    <xf numFmtId="0" fontId="81" fillId="0" borderId="11" xfId="3" applyFont="1" applyFill="1" applyBorder="1"/>
    <xf numFmtId="0" fontId="82" fillId="0" borderId="274" xfId="3" applyFont="1" applyFill="1" applyBorder="1" applyAlignment="1">
      <alignment horizontal="center"/>
    </xf>
    <xf numFmtId="43" fontId="106" fillId="7" borderId="11" xfId="3" applyNumberFormat="1" applyFont="1" applyFill="1" applyBorder="1"/>
    <xf numFmtId="43" fontId="106" fillId="0" borderId="11" xfId="3" applyNumberFormat="1" applyFont="1" applyFill="1" applyBorder="1"/>
    <xf numFmtId="43" fontId="82" fillId="0" borderId="11" xfId="3" applyNumberFormat="1" applyFont="1" applyFill="1" applyBorder="1"/>
    <xf numFmtId="0" fontId="82" fillId="0" borderId="5" xfId="3" applyFont="1" applyFill="1" applyBorder="1"/>
    <xf numFmtId="43" fontId="106" fillId="0" borderId="253" xfId="3" applyNumberFormat="1" applyFont="1" applyFill="1" applyBorder="1"/>
    <xf numFmtId="9" fontId="82" fillId="0" borderId="0" xfId="3" applyNumberFormat="1" applyFont="1" applyFill="1" applyBorder="1" applyAlignment="1">
      <alignment horizontal="center"/>
    </xf>
    <xf numFmtId="16" fontId="82" fillId="0" borderId="0" xfId="3" applyNumberFormat="1" applyFont="1" applyFill="1" applyBorder="1" applyAlignment="1">
      <alignment horizontal="center"/>
    </xf>
    <xf numFmtId="43" fontId="106" fillId="0" borderId="0" xfId="3" applyNumberFormat="1" applyFont="1" applyFill="1" applyBorder="1" applyAlignment="1"/>
    <xf numFmtId="165" fontId="82" fillId="0" borderId="0" xfId="3" applyNumberFormat="1" applyFont="1" applyFill="1" applyBorder="1"/>
    <xf numFmtId="16" fontId="94" fillId="0" borderId="296" xfId="3" applyNumberFormat="1" applyFont="1" applyFill="1" applyBorder="1" applyAlignment="1">
      <alignment horizontal="center"/>
    </xf>
    <xf numFmtId="43" fontId="118" fillId="0" borderId="0" xfId="3" applyNumberFormat="1" applyFont="1" applyFill="1" applyBorder="1" applyAlignment="1">
      <alignment horizontal="center"/>
    </xf>
    <xf numFmtId="43" fontId="106" fillId="0" borderId="1" xfId="3" applyNumberFormat="1" applyFont="1" applyFill="1" applyBorder="1" applyAlignment="1">
      <alignment horizontal="center"/>
    </xf>
    <xf numFmtId="43" fontId="93" fillId="0" borderId="1" xfId="3" applyNumberFormat="1" applyFont="1" applyFill="1" applyBorder="1"/>
    <xf numFmtId="43" fontId="93" fillId="0" borderId="12" xfId="3" applyNumberFormat="1" applyFont="1" applyFill="1" applyBorder="1"/>
    <xf numFmtId="0" fontId="93" fillId="0" borderId="0" xfId="3" applyFont="1" applyFill="1" applyBorder="1"/>
    <xf numFmtId="43" fontId="82" fillId="0" borderId="0" xfId="3" applyNumberFormat="1" applyFont="1" applyFill="1" applyBorder="1" applyAlignment="1"/>
    <xf numFmtId="0" fontId="121" fillId="0" borderId="0" xfId="3" applyFont="1" applyFill="1" applyBorder="1" applyAlignment="1"/>
    <xf numFmtId="43" fontId="93" fillId="31" borderId="0" xfId="3" applyNumberFormat="1" applyFont="1" applyFill="1" applyBorder="1"/>
    <xf numFmtId="43" fontId="94" fillId="0" borderId="21" xfId="3" applyNumberFormat="1" applyFont="1" applyFill="1" applyBorder="1"/>
    <xf numFmtId="43" fontId="106" fillId="0" borderId="0" xfId="3" applyNumberFormat="1" applyFont="1" applyFill="1" applyBorder="1" applyAlignment="1">
      <alignment horizontal="center"/>
    </xf>
    <xf numFmtId="43" fontId="93" fillId="0" borderId="0" xfId="3" applyNumberFormat="1" applyFont="1" applyFill="1" applyBorder="1"/>
    <xf numFmtId="0" fontId="93" fillId="0" borderId="11" xfId="3" applyFont="1" applyFill="1" applyBorder="1"/>
    <xf numFmtId="0" fontId="105" fillId="0" borderId="0" xfId="3" applyFont="1" applyFill="1" applyBorder="1" applyAlignment="1">
      <alignment horizontal="center"/>
    </xf>
    <xf numFmtId="0" fontId="84" fillId="0" borderId="38" xfId="3" applyFont="1" applyFill="1" applyBorder="1" applyAlignment="1">
      <alignment horizontal="center"/>
    </xf>
    <xf numFmtId="43" fontId="84" fillId="0" borderId="38" xfId="3" applyNumberFormat="1" applyFont="1" applyFill="1" applyBorder="1" applyAlignment="1">
      <alignment horizontal="center"/>
    </xf>
    <xf numFmtId="0" fontId="84" fillId="0" borderId="0" xfId="3" applyFont="1" applyFill="1" applyBorder="1" applyAlignment="1">
      <alignment horizontal="center"/>
    </xf>
    <xf numFmtId="43" fontId="84" fillId="0" borderId="74" xfId="3" applyNumberFormat="1" applyFont="1" applyFill="1" applyBorder="1"/>
    <xf numFmtId="43" fontId="113" fillId="0" borderId="279" xfId="3" applyNumberFormat="1" applyFont="1" applyFill="1" applyBorder="1"/>
    <xf numFmtId="43" fontId="84" fillId="0" borderId="53" xfId="3" applyNumberFormat="1" applyFont="1" applyFill="1" applyBorder="1" applyAlignment="1">
      <alignment horizontal="center"/>
    </xf>
    <xf numFmtId="43" fontId="84" fillId="0" borderId="73" xfId="3" applyNumberFormat="1" applyFont="1" applyFill="1" applyBorder="1"/>
    <xf numFmtId="43" fontId="118" fillId="0" borderId="43" xfId="3" applyNumberFormat="1" applyFont="1" applyFill="1" applyBorder="1"/>
    <xf numFmtId="43" fontId="126" fillId="0" borderId="37" xfId="3" applyNumberFormat="1" applyFont="1" applyFill="1" applyBorder="1"/>
    <xf numFmtId="43" fontId="127" fillId="0" borderId="45" xfId="3" applyNumberFormat="1" applyFont="1" applyFill="1" applyBorder="1" applyAlignment="1"/>
    <xf numFmtId="43" fontId="107" fillId="0" borderId="46" xfId="3" applyNumberFormat="1" applyFont="1" applyFill="1" applyBorder="1" applyAlignment="1">
      <alignment horizontal="center"/>
    </xf>
    <xf numFmtId="43" fontId="82" fillId="0" borderId="0" xfId="3" applyNumberFormat="1" applyFont="1" applyBorder="1"/>
    <xf numFmtId="43" fontId="108" fillId="0" borderId="0" xfId="3" applyNumberFormat="1" applyFont="1" applyFill="1" applyBorder="1" applyAlignment="1">
      <alignment horizontal="center"/>
    </xf>
    <xf numFmtId="0" fontId="81" fillId="0" borderId="0" xfId="3" applyFont="1" applyBorder="1" applyAlignment="1">
      <alignment horizontal="center"/>
    </xf>
    <xf numFmtId="49" fontId="80" fillId="0" borderId="0" xfId="3" applyNumberFormat="1" applyFont="1" applyBorder="1" applyAlignment="1">
      <alignment horizontal="center"/>
    </xf>
    <xf numFmtId="0" fontId="81" fillId="0" borderId="0" xfId="3" applyFont="1" applyBorder="1"/>
    <xf numFmtId="0" fontId="79" fillId="0" borderId="0" xfId="3" applyFont="1" applyBorder="1" applyAlignment="1">
      <alignment horizontal="left"/>
    </xf>
    <xf numFmtId="0" fontId="79" fillId="0" borderId="0" xfId="3" applyFont="1" applyAlignment="1">
      <alignment horizontal="left"/>
    </xf>
    <xf numFmtId="0" fontId="79" fillId="0" borderId="0" xfId="3" applyFont="1" applyAlignment="1"/>
    <xf numFmtId="0" fontId="79" fillId="0" borderId="6" xfId="3" applyFont="1" applyBorder="1" applyAlignment="1">
      <alignment horizontal="left"/>
    </xf>
    <xf numFmtId="0" fontId="128" fillId="0" borderId="0" xfId="3" applyFont="1" applyBorder="1" applyAlignment="1"/>
    <xf numFmtId="0" fontId="128" fillId="0" borderId="0" xfId="3" applyFont="1" applyAlignment="1">
      <alignment horizontal="center"/>
    </xf>
    <xf numFmtId="0" fontId="128" fillId="0" borderId="0" xfId="3" applyFont="1" applyBorder="1" applyAlignment="1">
      <alignment horizontal="center"/>
    </xf>
    <xf numFmtId="49" fontId="129" fillId="0" borderId="0" xfId="3" applyNumberFormat="1" applyFont="1" applyBorder="1" applyAlignment="1">
      <alignment horizontal="center"/>
    </xf>
    <xf numFmtId="0" fontId="130" fillId="0" borderId="0" xfId="3" applyFont="1" applyBorder="1" applyAlignment="1">
      <alignment horizontal="center"/>
    </xf>
    <xf numFmtId="0" fontId="79" fillId="0" borderId="15" xfId="3" applyFont="1" applyBorder="1" applyAlignment="1">
      <alignment horizontal="left"/>
    </xf>
    <xf numFmtId="0" fontId="79" fillId="0" borderId="13" xfId="3" applyFont="1" applyBorder="1" applyAlignment="1">
      <alignment horizontal="left"/>
    </xf>
    <xf numFmtId="0" fontId="79" fillId="0" borderId="8" xfId="3" applyFont="1" applyBorder="1" applyAlignment="1"/>
    <xf numFmtId="0" fontId="79" fillId="0" borderId="0" xfId="0" applyFont="1" applyBorder="1"/>
    <xf numFmtId="0" fontId="79" fillId="0" borderId="0" xfId="0" applyFont="1" applyBorder="1" applyAlignment="1"/>
    <xf numFmtId="0" fontId="50" fillId="0" borderId="1" xfId="0" applyFont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43" fontId="104" fillId="0" borderId="0" xfId="0" applyNumberFormat="1" applyFont="1"/>
    <xf numFmtId="43" fontId="74" fillId="0" borderId="210" xfId="0" applyNumberFormat="1" applyFont="1" applyBorder="1"/>
    <xf numFmtId="43" fontId="6" fillId="0" borderId="210" xfId="0" applyNumberFormat="1" applyFont="1" applyBorder="1"/>
    <xf numFmtId="0" fontId="0" fillId="0" borderId="356" xfId="0" applyBorder="1"/>
    <xf numFmtId="43" fontId="5" fillId="0" borderId="210" xfId="0" applyNumberFormat="1" applyFont="1" applyBorder="1"/>
    <xf numFmtId="43" fontId="2" fillId="0" borderId="210" xfId="0" applyNumberFormat="1" applyFont="1" applyBorder="1"/>
    <xf numFmtId="43" fontId="2" fillId="0" borderId="356" xfId="0" applyNumberFormat="1" applyFont="1" applyBorder="1"/>
    <xf numFmtId="0" fontId="0" fillId="0" borderId="357" xfId="0" applyBorder="1"/>
    <xf numFmtId="43" fontId="104" fillId="0" borderId="210" xfId="0" applyNumberFormat="1" applyFont="1" applyBorder="1"/>
    <xf numFmtId="0" fontId="77" fillId="0" borderId="210" xfId="0" applyFont="1" applyBorder="1" applyAlignment="1">
      <alignment horizontal="right"/>
    </xf>
    <xf numFmtId="43" fontId="27" fillId="9" borderId="0" xfId="0" applyNumberFormat="1" applyFont="1" applyFill="1"/>
    <xf numFmtId="43" fontId="29" fillId="9" borderId="0" xfId="0" applyNumberFormat="1" applyFont="1" applyFill="1"/>
    <xf numFmtId="0" fontId="13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35" fillId="0" borderId="0" xfId="0" applyFont="1" applyBorder="1" applyAlignment="1">
      <alignment vertical="center"/>
    </xf>
    <xf numFmtId="0" fontId="135" fillId="0" borderId="0" xfId="0" applyFont="1"/>
    <xf numFmtId="0" fontId="135" fillId="0" borderId="0" xfId="0" applyFont="1" applyBorder="1" applyAlignment="1">
      <alignment horizontal="center" vertical="center"/>
    </xf>
    <xf numFmtId="0" fontId="136" fillId="0" borderId="0" xfId="0" applyFont="1" applyBorder="1"/>
    <xf numFmtId="0" fontId="136" fillId="0" borderId="68" xfId="1" applyNumberFormat="1" applyFont="1" applyBorder="1" applyAlignment="1">
      <alignment horizontal="center"/>
    </xf>
    <xf numFmtId="0" fontId="136" fillId="0" borderId="0" xfId="0" applyFont="1" applyBorder="1" applyAlignment="1">
      <alignment vertical="center"/>
    </xf>
    <xf numFmtId="0" fontId="136" fillId="0" borderId="38" xfId="0" applyFont="1" applyBorder="1"/>
    <xf numFmtId="0" fontId="136" fillId="0" borderId="45" xfId="1" applyNumberFormat="1" applyFont="1" applyBorder="1" applyAlignment="1">
      <alignment horizontal="center"/>
    </xf>
    <xf numFmtId="164" fontId="136" fillId="0" borderId="38" xfId="1" applyFont="1" applyBorder="1"/>
    <xf numFmtId="164" fontId="136" fillId="0" borderId="0" xfId="1" applyFont="1" applyBorder="1"/>
    <xf numFmtId="0" fontId="140" fillId="0" borderId="0" xfId="0" applyFont="1" applyBorder="1"/>
    <xf numFmtId="0" fontId="138" fillId="0" borderId="0" xfId="0" applyFont="1" applyBorder="1" applyAlignment="1">
      <alignment horizontal="center"/>
    </xf>
    <xf numFmtId="0" fontId="138" fillId="0" borderId="0" xfId="0" applyFont="1" applyBorder="1"/>
    <xf numFmtId="0" fontId="135" fillId="0" borderId="42" xfId="0" applyFont="1" applyBorder="1" applyAlignment="1">
      <alignment horizontal="center" vertical="center"/>
    </xf>
    <xf numFmtId="0" fontId="135" fillId="0" borderId="43" xfId="0" applyFont="1" applyBorder="1" applyAlignment="1">
      <alignment horizontal="center" vertical="center"/>
    </xf>
    <xf numFmtId="0" fontId="135" fillId="0" borderId="40" xfId="0" applyFont="1" applyBorder="1" applyAlignment="1">
      <alignment horizontal="center" vertical="center"/>
    </xf>
    <xf numFmtId="0" fontId="135" fillId="0" borderId="39" xfId="0" applyFont="1" applyBorder="1" applyAlignment="1">
      <alignment horizontal="center" vertical="center"/>
    </xf>
    <xf numFmtId="0" fontId="135" fillId="0" borderId="41" xfId="0" applyFont="1" applyBorder="1" applyAlignment="1">
      <alignment horizontal="center" vertical="center"/>
    </xf>
    <xf numFmtId="0" fontId="138" fillId="0" borderId="0" xfId="0" applyFont="1"/>
    <xf numFmtId="0" fontId="141" fillId="0" borderId="0" xfId="0" applyFont="1" applyBorder="1" applyAlignment="1">
      <alignment vertical="center"/>
    </xf>
    <xf numFmtId="171" fontId="137" fillId="0" borderId="60" xfId="1" applyNumberFormat="1" applyFont="1" applyBorder="1" applyAlignment="1">
      <alignment horizontal="center"/>
    </xf>
    <xf numFmtId="164" fontId="136" fillId="0" borderId="60" xfId="1" applyFont="1" applyBorder="1" applyAlignment="1">
      <alignment horizontal="center"/>
    </xf>
    <xf numFmtId="43" fontId="140" fillId="0" borderId="60" xfId="1" applyNumberFormat="1" applyFont="1" applyBorder="1"/>
    <xf numFmtId="164" fontId="140" fillId="0" borderId="59" xfId="1" applyFont="1" applyBorder="1"/>
    <xf numFmtId="164" fontId="136" fillId="0" borderId="37" xfId="1" applyFont="1" applyBorder="1" applyAlignment="1">
      <alignment horizontal="center"/>
    </xf>
    <xf numFmtId="43" fontId="140" fillId="0" borderId="0" xfId="1" applyNumberFormat="1" applyFont="1" applyBorder="1"/>
    <xf numFmtId="164" fontId="140" fillId="0" borderId="0" xfId="1" applyFont="1" applyBorder="1"/>
    <xf numFmtId="0" fontId="136" fillId="0" borderId="0" xfId="0" applyFont="1"/>
    <xf numFmtId="0" fontId="138" fillId="0" borderId="52" xfId="0" applyFont="1" applyBorder="1" applyAlignment="1">
      <alignment horizontal="center"/>
    </xf>
    <xf numFmtId="0" fontId="138" fillId="0" borderId="54" xfId="0" applyFont="1" applyBorder="1"/>
    <xf numFmtId="0" fontId="143" fillId="0" borderId="0" xfId="0" applyFont="1" applyBorder="1" applyAlignment="1">
      <alignment horizontal="center"/>
    </xf>
    <xf numFmtId="43" fontId="143" fillId="0" borderId="37" xfId="1" applyNumberFormat="1" applyFont="1" applyBorder="1"/>
    <xf numFmtId="43" fontId="136" fillId="0" borderId="0" xfId="1" applyNumberFormat="1" applyFont="1" applyBorder="1" applyAlignment="1">
      <alignment horizontal="center"/>
    </xf>
    <xf numFmtId="43" fontId="144" fillId="0" borderId="52" xfId="0" applyNumberFormat="1" applyFont="1" applyBorder="1" applyAlignment="1">
      <alignment horizontal="center"/>
    </xf>
    <xf numFmtId="43" fontId="144" fillId="0" borderId="37" xfId="0" applyNumberFormat="1" applyFont="1" applyBorder="1" applyAlignment="1">
      <alignment horizontal="center"/>
    </xf>
    <xf numFmtId="49" fontId="143" fillId="0" borderId="0" xfId="0" applyNumberFormat="1" applyFont="1" applyBorder="1" applyAlignment="1">
      <alignment horizontal="center"/>
    </xf>
    <xf numFmtId="43" fontId="136" fillId="0" borderId="46" xfId="1" applyNumberFormat="1" applyFont="1" applyBorder="1"/>
    <xf numFmtId="49" fontId="136" fillId="0" borderId="38" xfId="1" applyNumberFormat="1" applyFont="1" applyBorder="1"/>
    <xf numFmtId="43" fontId="144" fillId="0" borderId="45" xfId="0" applyNumberFormat="1" applyFont="1" applyBorder="1" applyAlignment="1">
      <alignment horizontal="center"/>
    </xf>
    <xf numFmtId="0" fontId="136" fillId="0" borderId="51" xfId="0" applyFont="1" applyBorder="1"/>
    <xf numFmtId="43" fontId="136" fillId="0" borderId="52" xfId="1" applyNumberFormat="1" applyFont="1" applyBorder="1"/>
    <xf numFmtId="43" fontId="136" fillId="0" borderId="54" xfId="1" applyNumberFormat="1" applyFont="1" applyBorder="1"/>
    <xf numFmtId="164" fontId="136" fillId="0" borderId="37" xfId="1" applyFont="1" applyBorder="1"/>
    <xf numFmtId="0" fontId="136" fillId="0" borderId="46" xfId="0" applyFont="1" applyBorder="1"/>
    <xf numFmtId="43" fontId="136" fillId="2" borderId="38" xfId="1" applyNumberFormat="1" applyFont="1" applyFill="1" applyBorder="1"/>
    <xf numFmtId="164" fontId="136" fillId="0" borderId="45" xfId="1" applyFont="1" applyBorder="1"/>
    <xf numFmtId="43" fontId="136" fillId="0" borderId="38" xfId="1" applyNumberFormat="1" applyFont="1" applyBorder="1"/>
    <xf numFmtId="43" fontId="136" fillId="0" borderId="0" xfId="1" applyNumberFormat="1" applyFont="1" applyBorder="1"/>
    <xf numFmtId="0" fontId="142" fillId="0" borderId="0" xfId="0" applyFont="1" applyBorder="1" applyAlignment="1">
      <alignment horizontal="center" vertical="center"/>
    </xf>
    <xf numFmtId="43" fontId="136" fillId="15" borderId="38" xfId="1" applyNumberFormat="1" applyFont="1" applyFill="1" applyBorder="1"/>
    <xf numFmtId="49" fontId="136" fillId="0" borderId="8" xfId="1" applyNumberFormat="1" applyFont="1" applyBorder="1" applyAlignment="1">
      <alignment horizontal="center" vertical="center"/>
    </xf>
    <xf numFmtId="0" fontId="136" fillId="0" borderId="8" xfId="0" applyFont="1" applyBorder="1"/>
    <xf numFmtId="0" fontId="136" fillId="0" borderId="8" xfId="1" applyNumberFormat="1" applyFont="1" applyBorder="1" applyAlignment="1">
      <alignment horizontal="center" vertical="center" wrapText="1"/>
    </xf>
    <xf numFmtId="164" fontId="136" fillId="0" borderId="8" xfId="1" applyFont="1" applyBorder="1" applyAlignment="1">
      <alignment horizontal="center"/>
    </xf>
    <xf numFmtId="0" fontId="136" fillId="0" borderId="71" xfId="0" applyFont="1" applyBorder="1"/>
    <xf numFmtId="164" fontId="136" fillId="0" borderId="71" xfId="1" applyFont="1" applyBorder="1" applyAlignment="1">
      <alignment horizontal="center"/>
    </xf>
    <xf numFmtId="164" fontId="140" fillId="0" borderId="71" xfId="1" applyFont="1" applyBorder="1"/>
    <xf numFmtId="43" fontId="138" fillId="0" borderId="0" xfId="0" applyNumberFormat="1" applyFont="1" applyFill="1" applyBorder="1"/>
    <xf numFmtId="43" fontId="136" fillId="20" borderId="51" xfId="1" applyNumberFormat="1" applyFont="1" applyFill="1" applyBorder="1"/>
    <xf numFmtId="43" fontId="136" fillId="20" borderId="0" xfId="1" applyNumberFormat="1" applyFont="1" applyFill="1" applyBorder="1"/>
    <xf numFmtId="43" fontId="136" fillId="20" borderId="8" xfId="1" applyNumberFormat="1" applyFont="1" applyFill="1" applyBorder="1"/>
    <xf numFmtId="164" fontId="136" fillId="0" borderId="0" xfId="1" applyFont="1" applyBorder="1" applyAlignment="1">
      <alignment horizontal="center"/>
    </xf>
    <xf numFmtId="0" fontId="138" fillId="0" borderId="10" xfId="0" applyFont="1" applyBorder="1"/>
    <xf numFmtId="164" fontId="136" fillId="0" borderId="59" xfId="1" applyFont="1" applyBorder="1" applyAlignment="1">
      <alignment horizontal="center"/>
    </xf>
    <xf numFmtId="49" fontId="136" fillId="0" borderId="0" xfId="1" applyNumberFormat="1" applyFont="1" applyBorder="1"/>
    <xf numFmtId="49" fontId="145" fillId="0" borderId="0" xfId="0" applyNumberFormat="1" applyFont="1" applyBorder="1" applyAlignment="1">
      <alignment horizontal="center"/>
    </xf>
    <xf numFmtId="43" fontId="140" fillId="0" borderId="37" xfId="1" applyNumberFormat="1" applyFont="1" applyBorder="1"/>
    <xf numFmtId="0" fontId="146" fillId="0" borderId="0" xfId="0" applyFont="1"/>
    <xf numFmtId="0" fontId="143" fillId="0" borderId="0" xfId="0" applyNumberFormat="1" applyFont="1" applyBorder="1" applyAlignment="1">
      <alignment horizontal="center"/>
    </xf>
    <xf numFmtId="43" fontId="136" fillId="0" borderId="52" xfId="1" applyNumberFormat="1" applyFont="1" applyBorder="1" applyAlignment="1">
      <alignment horizontal="center"/>
    </xf>
    <xf numFmtId="0" fontId="138" fillId="0" borderId="0" xfId="0" applyFont="1" applyAlignment="1">
      <alignment horizontal="center"/>
    </xf>
    <xf numFmtId="164" fontId="147" fillId="0" borderId="71" xfId="1" applyFont="1" applyBorder="1"/>
    <xf numFmtId="43" fontId="148" fillId="0" borderId="231" xfId="0" applyNumberFormat="1" applyFont="1" applyBorder="1" applyAlignment="1">
      <alignment horizontal="center"/>
    </xf>
    <xf numFmtId="43" fontId="144" fillId="0" borderId="128" xfId="0" applyNumberFormat="1" applyFont="1" applyBorder="1" applyAlignment="1">
      <alignment horizontal="center"/>
    </xf>
    <xf numFmtId="43" fontId="144" fillId="0" borderId="6" xfId="0" applyNumberFormat="1" applyFont="1" applyBorder="1" applyAlignment="1">
      <alignment horizontal="center"/>
    </xf>
    <xf numFmtId="43" fontId="144" fillId="0" borderId="105" xfId="0" applyNumberFormat="1" applyFont="1" applyBorder="1" applyAlignment="1">
      <alignment horizontal="center"/>
    </xf>
    <xf numFmtId="164" fontId="136" fillId="0" borderId="51" xfId="1" applyFont="1" applyBorder="1"/>
    <xf numFmtId="164" fontId="136" fillId="0" borderId="54" xfId="1" applyFont="1" applyBorder="1"/>
    <xf numFmtId="43" fontId="136" fillId="0" borderId="0" xfId="0" applyNumberFormat="1" applyFont="1" applyBorder="1"/>
    <xf numFmtId="0" fontId="138" fillId="16" borderId="0" xfId="0" applyFont="1" applyFill="1"/>
    <xf numFmtId="43" fontId="149" fillId="0" borderId="37" xfId="1" applyNumberFormat="1" applyFont="1" applyBorder="1"/>
    <xf numFmtId="0" fontId="138" fillId="19" borderId="0" xfId="0" applyFont="1" applyFill="1"/>
    <xf numFmtId="164" fontId="136" fillId="0" borderId="0" xfId="1" applyFont="1" applyBorder="1" applyAlignment="1">
      <alignment horizontal="center" vertical="center"/>
    </xf>
    <xf numFmtId="49" fontId="136" fillId="0" borderId="59" xfId="1" applyNumberFormat="1" applyFont="1" applyBorder="1"/>
    <xf numFmtId="0" fontId="138" fillId="16" borderId="0" xfId="0" applyFont="1" applyFill="1" applyBorder="1"/>
    <xf numFmtId="43" fontId="143" fillId="0" borderId="37" xfId="1" applyNumberFormat="1" applyFont="1" applyBorder="1" applyAlignment="1">
      <alignment horizontal="center"/>
    </xf>
    <xf numFmtId="0" fontId="136" fillId="16" borderId="0" xfId="0" applyFont="1" applyFill="1" applyBorder="1"/>
    <xf numFmtId="0" fontId="146" fillId="19" borderId="0" xfId="0" applyFont="1" applyFill="1"/>
    <xf numFmtId="43" fontId="143" fillId="0" borderId="45" xfId="1" applyNumberFormat="1" applyFont="1" applyBorder="1" applyAlignment="1">
      <alignment horizontal="center"/>
    </xf>
    <xf numFmtId="49" fontId="136" fillId="0" borderId="0" xfId="1" applyNumberFormat="1" applyFont="1" applyBorder="1" applyAlignment="1"/>
    <xf numFmtId="164" fontId="138" fillId="0" borderId="46" xfId="1" applyFont="1" applyBorder="1"/>
    <xf numFmtId="43" fontId="141" fillId="2" borderId="38" xfId="1" applyNumberFormat="1" applyFont="1" applyFill="1" applyBorder="1"/>
    <xf numFmtId="0" fontId="136" fillId="0" borderId="0" xfId="0" applyFont="1" applyFill="1" applyBorder="1" applyAlignment="1">
      <alignment horizontal="center"/>
    </xf>
    <xf numFmtId="164" fontId="138" fillId="0" borderId="0" xfId="1" applyFont="1" applyBorder="1"/>
    <xf numFmtId="43" fontId="141" fillId="2" borderId="0" xfId="1" applyNumberFormat="1" applyFont="1" applyFill="1" applyBorder="1"/>
    <xf numFmtId="43" fontId="136" fillId="2" borderId="0" xfId="1" applyNumberFormat="1" applyFont="1" applyFill="1" applyBorder="1"/>
    <xf numFmtId="43" fontId="136" fillId="15" borderId="0" xfId="1" applyNumberFormat="1" applyFont="1" applyFill="1" applyBorder="1"/>
    <xf numFmtId="0" fontId="136" fillId="0" borderId="0" xfId="0" applyFont="1" applyFill="1" applyBorder="1"/>
    <xf numFmtId="43" fontId="136" fillId="0" borderId="0" xfId="0" applyNumberFormat="1" applyFont="1" applyFill="1" applyBorder="1" applyAlignment="1">
      <alignment horizontal="center"/>
    </xf>
    <xf numFmtId="43" fontId="138" fillId="0" borderId="0" xfId="0" applyNumberFormat="1" applyFont="1" applyBorder="1"/>
    <xf numFmtId="49" fontId="150" fillId="0" borderId="0" xfId="0" applyNumberFormat="1" applyFont="1" applyBorder="1" applyAlignment="1">
      <alignment horizontal="center"/>
    </xf>
    <xf numFmtId="43" fontId="138" fillId="0" borderId="0" xfId="1" applyNumberFormat="1" applyFont="1" applyBorder="1"/>
    <xf numFmtId="49" fontId="138" fillId="0" borderId="0" xfId="1" applyNumberFormat="1" applyFont="1" applyBorder="1"/>
    <xf numFmtId="164" fontId="138" fillId="0" borderId="51" xfId="1" applyFont="1" applyBorder="1"/>
    <xf numFmtId="43" fontId="146" fillId="0" borderId="52" xfId="1" applyNumberFormat="1" applyFont="1" applyBorder="1"/>
    <xf numFmtId="164" fontId="138" fillId="0" borderId="54" xfId="1" applyFont="1" applyBorder="1"/>
    <xf numFmtId="164" fontId="141" fillId="0" borderId="0" xfId="1" applyFont="1" applyBorder="1"/>
    <xf numFmtId="43" fontId="141" fillId="0" borderId="0" xfId="1" applyNumberFormat="1" applyFont="1" applyFill="1" applyBorder="1"/>
    <xf numFmtId="43" fontId="136" fillId="0" borderId="0" xfId="1" applyNumberFormat="1" applyFont="1" applyFill="1" applyBorder="1"/>
    <xf numFmtId="43" fontId="141" fillId="0" borderId="0" xfId="1" applyNumberFormat="1" applyFont="1" applyBorder="1"/>
    <xf numFmtId="164" fontId="138" fillId="0" borderId="0" xfId="0" applyNumberFormat="1" applyFont="1" applyBorder="1"/>
    <xf numFmtId="0" fontId="151" fillId="0" borderId="38" xfId="0" applyFont="1" applyBorder="1"/>
    <xf numFmtId="0" fontId="141" fillId="0" borderId="45" xfId="1" applyNumberFormat="1" applyFont="1" applyBorder="1" applyAlignment="1">
      <alignment horizontal="center"/>
    </xf>
    <xf numFmtId="0" fontId="141" fillId="0" borderId="46" xfId="1" applyNumberFormat="1" applyFont="1" applyBorder="1" applyAlignment="1">
      <alignment horizontal="center"/>
    </xf>
    <xf numFmtId="164" fontId="151" fillId="0" borderId="38" xfId="1" applyFont="1" applyBorder="1"/>
    <xf numFmtId="0" fontId="146" fillId="0" borderId="0" xfId="0" applyFont="1" applyAlignment="1">
      <alignment horizontal="center"/>
    </xf>
    <xf numFmtId="164" fontId="152" fillId="0" borderId="59" xfId="1" applyFont="1" applyBorder="1"/>
    <xf numFmtId="164" fontId="138" fillId="0" borderId="59" xfId="1" applyFont="1" applyBorder="1" applyAlignment="1">
      <alignment horizontal="center"/>
    </xf>
    <xf numFmtId="49" fontId="138" fillId="0" borderId="59" xfId="1" applyNumberFormat="1" applyFont="1" applyBorder="1"/>
    <xf numFmtId="0" fontId="153" fillId="0" borderId="0" xfId="0" applyFont="1" applyBorder="1" applyAlignment="1">
      <alignment horizontal="center"/>
    </xf>
    <xf numFmtId="43" fontId="150" fillId="0" borderId="37" xfId="1" applyNumberFormat="1" applyFont="1" applyBorder="1"/>
    <xf numFmtId="164" fontId="138" fillId="0" borderId="0" xfId="1" applyFont="1" applyBorder="1" applyAlignment="1">
      <alignment horizontal="center"/>
    </xf>
    <xf numFmtId="0" fontId="136" fillId="0" borderId="0" xfId="0" applyFont="1" applyBorder="1" applyAlignment="1"/>
    <xf numFmtId="164" fontId="138" fillId="0" borderId="0" xfId="1" applyFont="1" applyBorder="1" applyAlignment="1"/>
    <xf numFmtId="0" fontId="138" fillId="0" borderId="0" xfId="0" applyFont="1" applyBorder="1" applyAlignment="1"/>
    <xf numFmtId="49" fontId="150" fillId="0" borderId="38" xfId="0" applyNumberFormat="1" applyFont="1" applyBorder="1" applyAlignment="1">
      <alignment horizontal="center"/>
    </xf>
    <xf numFmtId="49" fontId="138" fillId="0" borderId="38" xfId="1" applyNumberFormat="1" applyFont="1" applyBorder="1"/>
    <xf numFmtId="43" fontId="150" fillId="0" borderId="52" xfId="1" applyNumberFormat="1" applyFont="1" applyBorder="1"/>
    <xf numFmtId="43" fontId="138" fillId="0" borderId="54" xfId="1" applyNumberFormat="1" applyFont="1" applyBorder="1"/>
    <xf numFmtId="0" fontId="138" fillId="0" borderId="191" xfId="0" applyFont="1" applyBorder="1"/>
    <xf numFmtId="43" fontId="138" fillId="2" borderId="176" xfId="0" applyNumberFormat="1" applyFont="1" applyFill="1" applyBorder="1"/>
    <xf numFmtId="43" fontId="150" fillId="0" borderId="0" xfId="1" applyNumberFormat="1" applyFont="1" applyBorder="1"/>
    <xf numFmtId="0" fontId="136" fillId="0" borderId="0" xfId="1" applyNumberFormat="1" applyFont="1" applyBorder="1"/>
    <xf numFmtId="43" fontId="155" fillId="0" borderId="0" xfId="0" applyNumberFormat="1" applyFont="1" applyBorder="1" applyAlignment="1">
      <alignment horizontal="center"/>
    </xf>
    <xf numFmtId="43" fontId="136" fillId="0" borderId="0" xfId="0" applyNumberFormat="1" applyFont="1"/>
    <xf numFmtId="49" fontId="139" fillId="0" borderId="210" xfId="1" applyNumberFormat="1" applyFont="1" applyBorder="1" applyAlignment="1">
      <alignment horizontal="center"/>
    </xf>
    <xf numFmtId="0" fontId="156" fillId="0" borderId="0" xfId="0" applyFont="1" applyAlignment="1">
      <alignment horizontal="center"/>
    </xf>
    <xf numFmtId="0" fontId="139" fillId="0" borderId="212" xfId="0" applyFont="1" applyBorder="1" applyAlignment="1">
      <alignment horizontal="center"/>
    </xf>
    <xf numFmtId="164" fontId="141" fillId="0" borderId="213" xfId="1" applyFont="1" applyBorder="1" applyAlignment="1">
      <alignment horizontal="center"/>
    </xf>
    <xf numFmtId="164" fontId="138" fillId="0" borderId="214" xfId="1" applyFont="1" applyBorder="1"/>
    <xf numFmtId="0" fontId="138" fillId="0" borderId="214" xfId="0" applyFont="1" applyBorder="1"/>
    <xf numFmtId="164" fontId="157" fillId="0" borderId="215" xfId="1" applyFont="1" applyBorder="1" applyAlignment="1"/>
    <xf numFmtId="0" fontId="139" fillId="0" borderId="214" xfId="0" applyFont="1" applyBorder="1"/>
    <xf numFmtId="0" fontId="138" fillId="0" borderId="218" xfId="0" applyFont="1" applyBorder="1"/>
    <xf numFmtId="164" fontId="138" fillId="0" borderId="0" xfId="1" applyFont="1" applyFill="1" applyBorder="1"/>
    <xf numFmtId="0" fontId="157" fillId="0" borderId="0" xfId="0" applyFont="1" applyBorder="1" applyAlignment="1">
      <alignment horizontal="center"/>
    </xf>
    <xf numFmtId="0" fontId="158" fillId="0" borderId="218" xfId="0" applyFont="1" applyBorder="1" applyAlignment="1"/>
    <xf numFmtId="0" fontId="141" fillId="0" borderId="0" xfId="0" applyFont="1" applyBorder="1" applyAlignment="1">
      <alignment horizontal="center"/>
    </xf>
    <xf numFmtId="0" fontId="152" fillId="0" borderId="0" xfId="0" applyFont="1" applyBorder="1" applyAlignment="1">
      <alignment horizontal="center"/>
    </xf>
    <xf numFmtId="164" fontId="152" fillId="0" borderId="222" xfId="1" applyFont="1" applyBorder="1"/>
    <xf numFmtId="43" fontId="152" fillId="0" borderId="60" xfId="1" applyNumberFormat="1" applyFont="1" applyBorder="1"/>
    <xf numFmtId="0" fontId="138" fillId="0" borderId="59" xfId="1" applyNumberFormat="1" applyFont="1" applyBorder="1" applyAlignment="1">
      <alignment horizontal="center"/>
    </xf>
    <xf numFmtId="164" fontId="138" fillId="0" borderId="59" xfId="1" applyFont="1" applyBorder="1"/>
    <xf numFmtId="49" fontId="153" fillId="0" borderId="218" xfId="0" applyNumberFormat="1" applyFont="1" applyBorder="1" applyAlignment="1">
      <alignment horizontal="center"/>
    </xf>
    <xf numFmtId="43" fontId="148" fillId="0" borderId="127" xfId="0" applyNumberFormat="1" applyFont="1" applyBorder="1" applyAlignment="1">
      <alignment horizontal="center"/>
    </xf>
    <xf numFmtId="43" fontId="148" fillId="0" borderId="330" xfId="0" applyNumberFormat="1" applyFont="1" applyBorder="1" applyAlignment="1">
      <alignment horizontal="center"/>
    </xf>
    <xf numFmtId="49" fontId="153" fillId="0" borderId="0" xfId="0" applyNumberFormat="1" applyFont="1" applyBorder="1" applyAlignment="1">
      <alignment horizontal="center"/>
    </xf>
    <xf numFmtId="43" fontId="138" fillId="0" borderId="0" xfId="0" applyNumberFormat="1" applyFont="1" applyBorder="1" applyAlignment="1">
      <alignment vertical="center"/>
    </xf>
    <xf numFmtId="43" fontId="148" fillId="0" borderId="28" xfId="0" applyNumberFormat="1" applyFont="1" applyBorder="1" applyAlignment="1">
      <alignment horizontal="center"/>
    </xf>
    <xf numFmtId="49" fontId="146" fillId="0" borderId="0" xfId="1" applyNumberFormat="1" applyFont="1" applyBorder="1" applyAlignment="1"/>
    <xf numFmtId="0" fontId="136" fillId="0" borderId="0" xfId="0" quotePrefix="1" applyFont="1" applyAlignment="1">
      <alignment horizontal="center"/>
    </xf>
    <xf numFmtId="49" fontId="150" fillId="0" borderId="218" xfId="0" applyNumberFormat="1" applyFont="1" applyBorder="1" applyAlignment="1">
      <alignment horizontal="center"/>
    </xf>
    <xf numFmtId="49" fontId="146" fillId="0" borderId="0" xfId="1" applyNumberFormat="1" applyFont="1" applyBorder="1"/>
    <xf numFmtId="43" fontId="157" fillId="0" borderId="0" xfId="0" applyNumberFormat="1" applyFont="1" applyBorder="1" applyAlignment="1">
      <alignment horizontal="center"/>
    </xf>
    <xf numFmtId="164" fontId="136" fillId="0" borderId="0" xfId="0" applyNumberFormat="1" applyFont="1" applyBorder="1"/>
    <xf numFmtId="49" fontId="138" fillId="0" borderId="218" xfId="1" applyNumberFormat="1" applyFont="1" applyBorder="1" applyAlignment="1">
      <alignment horizontal="center"/>
    </xf>
    <xf numFmtId="49" fontId="138" fillId="0" borderId="0" xfId="1" applyNumberFormat="1" applyFont="1" applyBorder="1" applyAlignment="1">
      <alignment horizontal="center"/>
    </xf>
    <xf numFmtId="164" fontId="136" fillId="0" borderId="210" xfId="1" applyFont="1" applyBorder="1"/>
    <xf numFmtId="43" fontId="136" fillId="15" borderId="210" xfId="1" applyNumberFormat="1" applyFont="1" applyFill="1" applyBorder="1"/>
    <xf numFmtId="49" fontId="138" fillId="0" borderId="218" xfId="0" applyNumberFormat="1" applyFont="1" applyBorder="1" applyAlignment="1">
      <alignment horizontal="center"/>
    </xf>
    <xf numFmtId="43" fontId="148" fillId="0" borderId="31" xfId="0" applyNumberFormat="1" applyFont="1" applyBorder="1" applyAlignment="1">
      <alignment horizontal="center"/>
    </xf>
    <xf numFmtId="49" fontId="138" fillId="0" borderId="0" xfId="0" applyNumberFormat="1" applyFont="1" applyBorder="1" applyAlignment="1">
      <alignment horizontal="center"/>
    </xf>
    <xf numFmtId="43" fontId="138" fillId="15" borderId="0" xfId="0" applyNumberFormat="1" applyFont="1" applyFill="1"/>
    <xf numFmtId="49" fontId="138" fillId="0" borderId="218" xfId="0" applyNumberFormat="1" applyFont="1" applyBorder="1"/>
    <xf numFmtId="43" fontId="155" fillId="7" borderId="0" xfId="0" applyNumberFormat="1" applyFont="1" applyFill="1" applyBorder="1"/>
    <xf numFmtId="43" fontId="146" fillId="0" borderId="0" xfId="0" applyNumberFormat="1" applyFont="1" applyBorder="1" applyAlignment="1"/>
    <xf numFmtId="43" fontId="138" fillId="0" borderId="210" xfId="0" applyNumberFormat="1" applyFont="1" applyBorder="1"/>
    <xf numFmtId="43" fontId="159" fillId="0" borderId="12" xfId="0" applyNumberFormat="1" applyFont="1" applyBorder="1" applyAlignment="1">
      <alignment horizontal="center" vertical="center"/>
    </xf>
    <xf numFmtId="43" fontId="160" fillId="0" borderId="15" xfId="0" applyNumberFormat="1" applyFont="1" applyBorder="1" applyAlignment="1">
      <alignment horizontal="center"/>
    </xf>
    <xf numFmtId="0" fontId="138" fillId="0" borderId="224" xfId="0" applyFont="1" applyBorder="1"/>
    <xf numFmtId="0" fontId="138" fillId="0" borderId="210" xfId="0" applyFont="1" applyBorder="1" applyAlignment="1">
      <alignment horizontal="center"/>
    </xf>
    <xf numFmtId="170" fontId="138" fillId="0" borderId="51" xfId="0" applyNumberFormat="1" applyFont="1" applyBorder="1" applyAlignment="1">
      <alignment horizontal="center"/>
    </xf>
    <xf numFmtId="49" fontId="138" fillId="0" borderId="0" xfId="0" applyNumberFormat="1" applyFont="1" applyFill="1" applyBorder="1"/>
    <xf numFmtId="43" fontId="162" fillId="0" borderId="0" xfId="1" applyNumberFormat="1" applyFont="1" applyFill="1" applyBorder="1"/>
    <xf numFmtId="170" fontId="138" fillId="0" borderId="38" xfId="0" applyNumberFormat="1" applyFont="1" applyBorder="1" applyAlignment="1">
      <alignment horizontal="center"/>
    </xf>
    <xf numFmtId="49" fontId="138" fillId="0" borderId="0" xfId="0" applyNumberFormat="1" applyFont="1" applyBorder="1"/>
    <xf numFmtId="43" fontId="138" fillId="0" borderId="0" xfId="0" applyNumberFormat="1" applyFont="1"/>
    <xf numFmtId="43" fontId="150" fillId="0" borderId="0" xfId="1" applyNumberFormat="1" applyFont="1" applyFill="1" applyBorder="1"/>
    <xf numFmtId="43" fontId="150" fillId="0" borderId="37" xfId="1" applyNumberFormat="1" applyFont="1" applyFill="1" applyBorder="1"/>
    <xf numFmtId="0" fontId="138" fillId="0" borderId="0" xfId="0" applyFont="1" applyFill="1" applyBorder="1"/>
    <xf numFmtId="0" fontId="155" fillId="0" borderId="0" xfId="0" applyFont="1" applyBorder="1"/>
    <xf numFmtId="0" fontId="155" fillId="0" borderId="0" xfId="0" applyFont="1"/>
    <xf numFmtId="0" fontId="138" fillId="0" borderId="38" xfId="0" applyFont="1" applyBorder="1"/>
    <xf numFmtId="0" fontId="138" fillId="0" borderId="312" xfId="0" applyFont="1" applyBorder="1"/>
    <xf numFmtId="43" fontId="143" fillId="0" borderId="313" xfId="1" applyNumberFormat="1" applyFont="1" applyBorder="1"/>
    <xf numFmtId="0" fontId="138" fillId="0" borderId="46" xfId="0" applyFont="1" applyBorder="1"/>
    <xf numFmtId="43" fontId="138" fillId="0" borderId="38" xfId="0" applyNumberFormat="1" applyFont="1" applyBorder="1"/>
    <xf numFmtId="0" fontId="135" fillId="0" borderId="10" xfId="0" applyFont="1" applyBorder="1" applyAlignment="1">
      <alignment horizontal="center"/>
    </xf>
    <xf numFmtId="0" fontId="142" fillId="0" borderId="0" xfId="0" applyFont="1" applyBorder="1" applyAlignment="1">
      <alignment horizontal="center"/>
    </xf>
    <xf numFmtId="0" fontId="139" fillId="0" borderId="0" xfId="0" applyFont="1" applyBorder="1"/>
    <xf numFmtId="164" fontId="139" fillId="0" borderId="0" xfId="1" applyFont="1" applyBorder="1"/>
    <xf numFmtId="0" fontId="139" fillId="0" borderId="0" xfId="0" applyFont="1"/>
    <xf numFmtId="0" fontId="135" fillId="0" borderId="324" xfId="0" applyFont="1" applyBorder="1" applyAlignment="1">
      <alignment horizontal="center"/>
    </xf>
    <xf numFmtId="0" fontId="135" fillId="0" borderId="210" xfId="0" applyFont="1" applyBorder="1" applyAlignment="1"/>
    <xf numFmtId="0" fontId="138" fillId="0" borderId="228" xfId="0" applyFont="1" applyBorder="1"/>
    <xf numFmtId="0" fontId="146" fillId="0" borderId="214" xfId="0" applyFont="1" applyBorder="1"/>
    <xf numFmtId="0" fontId="138" fillId="0" borderId="217" xfId="0" applyFont="1" applyBorder="1"/>
    <xf numFmtId="0" fontId="138" fillId="7" borderId="229" xfId="1" applyNumberFormat="1" applyFont="1" applyFill="1" applyBorder="1" applyAlignment="1">
      <alignment horizontal="center"/>
    </xf>
    <xf numFmtId="164" fontId="138" fillId="9" borderId="70" xfId="1" applyFont="1" applyFill="1" applyBorder="1" applyAlignment="1">
      <alignment horizontal="center"/>
    </xf>
    <xf numFmtId="164" fontId="138" fillId="9" borderId="69" xfId="1" applyFont="1" applyFill="1" applyBorder="1" applyAlignment="1">
      <alignment horizontal="center"/>
    </xf>
    <xf numFmtId="0" fontId="139" fillId="0" borderId="0" xfId="0" applyFont="1" applyBorder="1" applyAlignment="1">
      <alignment horizontal="center"/>
    </xf>
    <xf numFmtId="0" fontId="138" fillId="0" borderId="219" xfId="0" applyFont="1" applyBorder="1"/>
    <xf numFmtId="0" fontId="141" fillId="0" borderId="220" xfId="0" applyFont="1" applyBorder="1" applyAlignment="1">
      <alignment horizontal="center"/>
    </xf>
    <xf numFmtId="164" fontId="157" fillId="0" borderId="44" xfId="1" applyFont="1" applyBorder="1" applyAlignment="1">
      <alignment horizontal="center"/>
    </xf>
    <xf numFmtId="164" fontId="157" fillId="0" borderId="53" xfId="1" applyFont="1" applyBorder="1" applyAlignment="1">
      <alignment horizontal="center"/>
    </xf>
    <xf numFmtId="0" fontId="164" fillId="0" borderId="0" xfId="0" applyFont="1" applyBorder="1" applyAlignment="1">
      <alignment horizontal="center"/>
    </xf>
    <xf numFmtId="0" fontId="141" fillId="0" borderId="0" xfId="0" applyFont="1" applyAlignment="1">
      <alignment horizontal="center"/>
    </xf>
    <xf numFmtId="0" fontId="165" fillId="0" borderId="0" xfId="0" applyFont="1"/>
    <xf numFmtId="0" fontId="152" fillId="0" borderId="220" xfId="0" applyFont="1" applyBorder="1" applyAlignment="1">
      <alignment horizontal="center"/>
    </xf>
    <xf numFmtId="0" fontId="152" fillId="0" borderId="44" xfId="0" applyFont="1" applyBorder="1" applyAlignment="1">
      <alignment horizontal="center"/>
    </xf>
    <xf numFmtId="0" fontId="141" fillId="0" borderId="45" xfId="0" applyFont="1" applyBorder="1" applyAlignment="1">
      <alignment horizontal="center"/>
    </xf>
    <xf numFmtId="164" fontId="151" fillId="0" borderId="193" xfId="1" applyFont="1" applyBorder="1" applyAlignment="1">
      <alignment horizontal="center"/>
    </xf>
    <xf numFmtId="0" fontId="141" fillId="0" borderId="230" xfId="0" applyFont="1" applyBorder="1" applyAlignment="1">
      <alignment horizontal="center"/>
    </xf>
    <xf numFmtId="0" fontId="166" fillId="0" borderId="61" xfId="1" applyNumberFormat="1" applyFont="1" applyBorder="1"/>
    <xf numFmtId="164" fontId="167" fillId="0" borderId="17" xfId="1" applyFont="1" applyBorder="1" applyAlignment="1">
      <alignment vertical="center"/>
    </xf>
    <xf numFmtId="0" fontId="138" fillId="0" borderId="38" xfId="0" applyFont="1" applyBorder="1" applyAlignment="1">
      <alignment horizontal="center"/>
    </xf>
    <xf numFmtId="0" fontId="138" fillId="0" borderId="226" xfId="0" applyFont="1" applyBorder="1"/>
    <xf numFmtId="164" fontId="152" fillId="0" borderId="59" xfId="1" applyFont="1" applyFill="1" applyBorder="1"/>
    <xf numFmtId="43" fontId="168" fillId="0" borderId="60" xfId="1" applyNumberFormat="1" applyFont="1" applyBorder="1"/>
    <xf numFmtId="0" fontId="138" fillId="0" borderId="59" xfId="0" applyFont="1" applyFill="1" applyBorder="1" applyAlignment="1">
      <alignment horizontal="center"/>
    </xf>
    <xf numFmtId="0" fontId="138" fillId="0" borderId="59" xfId="1" applyNumberFormat="1" applyFont="1" applyFill="1" applyBorder="1"/>
    <xf numFmtId="49" fontId="138" fillId="0" borderId="223" xfId="1" applyNumberFormat="1" applyFont="1" applyBorder="1"/>
    <xf numFmtId="49" fontId="139" fillId="0" borderId="193" xfId="1" applyNumberFormat="1" applyFont="1" applyBorder="1" applyAlignment="1">
      <alignment horizontal="center"/>
    </xf>
    <xf numFmtId="43" fontId="138" fillId="0" borderId="222" xfId="0" applyNumberFormat="1" applyFont="1" applyBorder="1" applyAlignment="1">
      <alignment horizontal="center"/>
    </xf>
    <xf numFmtId="43" fontId="158" fillId="0" borderId="67" xfId="1" applyNumberFormat="1" applyFont="1" applyBorder="1"/>
    <xf numFmtId="164" fontId="152" fillId="0" borderId="66" xfId="1" applyFont="1" applyBorder="1"/>
    <xf numFmtId="0" fontId="138" fillId="0" borderId="59" xfId="0" applyFont="1" applyBorder="1"/>
    <xf numFmtId="0" fontId="138" fillId="0" borderId="68" xfId="0" applyFont="1" applyBorder="1"/>
    <xf numFmtId="0" fontId="153" fillId="0" borderId="96" xfId="0" applyFont="1" applyBorder="1" applyAlignment="1">
      <alignment horizontal="center"/>
    </xf>
    <xf numFmtId="0" fontId="138" fillId="0" borderId="232" xfId="1" applyNumberFormat="1" applyFont="1" applyFill="1" applyBorder="1"/>
    <xf numFmtId="43" fontId="148" fillId="0" borderId="190" xfId="0" applyNumberFormat="1" applyFont="1" applyBorder="1" applyAlignment="1">
      <alignment horizontal="center"/>
    </xf>
    <xf numFmtId="1" fontId="169" fillId="0" borderId="219" xfId="0" applyNumberFormat="1" applyFont="1" applyBorder="1" applyAlignment="1">
      <alignment horizontal="center"/>
    </xf>
    <xf numFmtId="43" fontId="170" fillId="0" borderId="231" xfId="0" applyNumberFormat="1" applyFont="1" applyBorder="1" applyAlignment="1">
      <alignment horizontal="center"/>
    </xf>
    <xf numFmtId="43" fontId="148" fillId="0" borderId="311" xfId="0" applyNumberFormat="1" applyFont="1" applyBorder="1" applyAlignment="1">
      <alignment horizontal="center"/>
    </xf>
    <xf numFmtId="43" fontId="148" fillId="35" borderId="127" xfId="0" applyNumberFormat="1" applyFont="1" applyFill="1" applyBorder="1" applyAlignment="1">
      <alignment horizontal="center"/>
    </xf>
    <xf numFmtId="0" fontId="165" fillId="0" borderId="0" xfId="0" applyFont="1" applyBorder="1"/>
    <xf numFmtId="43" fontId="171" fillId="0" borderId="0" xfId="0" applyNumberFormat="1" applyFont="1" applyBorder="1"/>
    <xf numFmtId="0" fontId="153" fillId="0" borderId="6" xfId="0" applyFont="1" applyBorder="1" applyAlignment="1">
      <alignment horizontal="center"/>
    </xf>
    <xf numFmtId="0" fontId="138" fillId="0" borderId="0" xfId="1" applyNumberFormat="1" applyFont="1" applyFill="1" applyBorder="1"/>
    <xf numFmtId="0" fontId="165" fillId="0" borderId="0" xfId="0" applyFont="1" applyBorder="1" applyAlignment="1"/>
    <xf numFmtId="49" fontId="138" fillId="0" borderId="0" xfId="1" applyNumberFormat="1" applyFont="1" applyFill="1" applyBorder="1"/>
    <xf numFmtId="49" fontId="150" fillId="0" borderId="6" xfId="0" applyNumberFormat="1" applyFont="1" applyBorder="1" applyAlignment="1">
      <alignment horizontal="center"/>
    </xf>
    <xf numFmtId="1" fontId="172" fillId="0" borderId="227" xfId="0" applyNumberFormat="1" applyFont="1" applyBorder="1" applyAlignment="1">
      <alignment horizontal="center"/>
    </xf>
    <xf numFmtId="0" fontId="138" fillId="0" borderId="0" xfId="1" applyNumberFormat="1" applyFont="1" applyFill="1" applyBorder="1" applyAlignment="1"/>
    <xf numFmtId="1" fontId="173" fillId="0" borderId="219" xfId="0" applyNumberFormat="1" applyFont="1" applyBorder="1" applyAlignment="1">
      <alignment horizontal="center"/>
    </xf>
    <xf numFmtId="49" fontId="150" fillId="0" borderId="105" xfId="0" applyNumberFormat="1" applyFont="1" applyBorder="1" applyAlignment="1">
      <alignment horizontal="center"/>
    </xf>
    <xf numFmtId="43" fontId="148" fillId="0" borderId="332" xfId="0" applyNumberFormat="1" applyFont="1" applyBorder="1" applyAlignment="1">
      <alignment horizontal="center"/>
    </xf>
    <xf numFmtId="43" fontId="148" fillId="0" borderId="331" xfId="0" applyNumberFormat="1" applyFont="1" applyBorder="1" applyAlignment="1">
      <alignment horizontal="center"/>
    </xf>
    <xf numFmtId="43" fontId="150" fillId="0" borderId="0" xfId="0" applyNumberFormat="1" applyFont="1" applyBorder="1" applyAlignment="1">
      <alignment horizontal="center"/>
    </xf>
    <xf numFmtId="49" fontId="174" fillId="19" borderId="0" xfId="0" applyNumberFormat="1" applyFont="1" applyFill="1" applyBorder="1" applyAlignment="1">
      <alignment horizontal="center"/>
    </xf>
    <xf numFmtId="43" fontId="143" fillId="0" borderId="333" xfId="1" applyNumberFormat="1" applyFont="1" applyBorder="1" applyAlignment="1">
      <alignment horizontal="center"/>
    </xf>
    <xf numFmtId="0" fontId="175" fillId="16" borderId="51" xfId="0" applyFont="1" applyFill="1" applyBorder="1" applyAlignment="1">
      <alignment vertical="center"/>
    </xf>
    <xf numFmtId="0" fontId="142" fillId="19" borderId="51" xfId="0" applyFont="1" applyFill="1" applyBorder="1" applyAlignment="1">
      <alignment vertical="center"/>
    </xf>
    <xf numFmtId="43" fontId="143" fillId="0" borderId="333" xfId="1" applyNumberFormat="1" applyFont="1" applyBorder="1"/>
    <xf numFmtId="49" fontId="176" fillId="16" borderId="51" xfId="0" applyNumberFormat="1" applyFont="1" applyFill="1" applyBorder="1" applyAlignment="1">
      <alignment vertical="center"/>
    </xf>
    <xf numFmtId="2" fontId="155" fillId="7" borderId="218" xfId="1" applyNumberFormat="1" applyFont="1" applyFill="1" applyBorder="1"/>
    <xf numFmtId="2" fontId="146" fillId="0" borderId="53" xfId="1" applyNumberFormat="1" applyFont="1" applyBorder="1"/>
    <xf numFmtId="0" fontId="165" fillId="0" borderId="0" xfId="0" applyFont="1" applyFill="1" applyBorder="1"/>
    <xf numFmtId="43" fontId="138" fillId="0" borderId="52" xfId="0" applyNumberFormat="1" applyFont="1" applyFill="1" applyBorder="1"/>
    <xf numFmtId="43" fontId="172" fillId="0" borderId="54" xfId="0" applyNumberFormat="1" applyFont="1" applyFill="1" applyBorder="1" applyAlignment="1">
      <alignment horizontal="center"/>
    </xf>
    <xf numFmtId="43" fontId="171" fillId="0" borderId="0" xfId="0" applyNumberFormat="1" applyFont="1" applyFill="1" applyBorder="1"/>
    <xf numFmtId="43" fontId="138" fillId="0" borderId="52" xfId="0" applyNumberFormat="1" applyFont="1" applyBorder="1"/>
    <xf numFmtId="43" fontId="138" fillId="0" borderId="54" xfId="0" applyNumberFormat="1" applyFont="1" applyBorder="1"/>
    <xf numFmtId="49" fontId="150" fillId="19" borderId="0" xfId="0" applyNumberFormat="1" applyFont="1" applyFill="1" applyBorder="1" applyAlignment="1">
      <alignment horizontal="center"/>
    </xf>
    <xf numFmtId="43" fontId="143" fillId="0" borderId="171" xfId="1" applyNumberFormat="1" applyFont="1" applyBorder="1" applyAlignment="1">
      <alignment horizontal="center"/>
    </xf>
    <xf numFmtId="49" fontId="177" fillId="16" borderId="0" xfId="0" applyNumberFormat="1" applyFont="1" applyFill="1" applyBorder="1" applyAlignment="1">
      <alignment vertical="center"/>
    </xf>
    <xf numFmtId="49" fontId="177" fillId="19" borderId="0" xfId="0" applyNumberFormat="1" applyFont="1" applyFill="1" applyBorder="1" applyAlignment="1">
      <alignment vertical="center"/>
    </xf>
    <xf numFmtId="43" fontId="143" fillId="0" borderId="171" xfId="1" applyNumberFormat="1" applyFont="1" applyBorder="1"/>
    <xf numFmtId="49" fontId="176" fillId="16" borderId="0" xfId="0" applyNumberFormat="1" applyFont="1" applyFill="1" applyBorder="1" applyAlignment="1">
      <alignment vertical="center"/>
    </xf>
    <xf numFmtId="1" fontId="173" fillId="0" borderId="0" xfId="0" applyNumberFormat="1" applyFont="1" applyBorder="1" applyAlignment="1">
      <alignment horizontal="center"/>
    </xf>
    <xf numFmtId="43" fontId="138" fillId="0" borderId="218" xfId="1" applyNumberFormat="1" applyFont="1" applyFill="1" applyBorder="1"/>
    <xf numFmtId="43" fontId="146" fillId="0" borderId="0" xfId="1" applyNumberFormat="1" applyFont="1" applyBorder="1"/>
    <xf numFmtId="0" fontId="150" fillId="0" borderId="0" xfId="0" applyNumberFormat="1" applyFont="1" applyBorder="1" applyAlignment="1">
      <alignment horizontal="center"/>
    </xf>
    <xf numFmtId="43" fontId="172" fillId="0" borderId="0" xfId="0" applyNumberFormat="1" applyFont="1" applyFill="1" applyBorder="1" applyAlignment="1">
      <alignment horizontal="center"/>
    </xf>
    <xf numFmtId="49" fontId="175" fillId="16" borderId="0" xfId="0" applyNumberFormat="1" applyFont="1" applyFill="1" applyBorder="1" applyAlignment="1">
      <alignment vertical="center"/>
    </xf>
    <xf numFmtId="49" fontId="142" fillId="19" borderId="0" xfId="0" applyNumberFormat="1" applyFont="1" applyFill="1" applyBorder="1" applyAlignment="1">
      <alignment vertical="center"/>
    </xf>
    <xf numFmtId="43" fontId="138" fillId="0" borderId="224" xfId="0" applyNumberFormat="1" applyFont="1" applyBorder="1"/>
    <xf numFmtId="43" fontId="164" fillId="2" borderId="38" xfId="1" applyNumberFormat="1" applyFont="1" applyFill="1" applyBorder="1" applyAlignment="1">
      <alignment horizontal="center"/>
    </xf>
    <xf numFmtId="1" fontId="173" fillId="0" borderId="350" xfId="0" applyNumberFormat="1" applyFont="1" applyBorder="1" applyAlignment="1">
      <alignment horizontal="center"/>
    </xf>
    <xf numFmtId="43" fontId="138" fillId="0" borderId="0" xfId="1" applyNumberFormat="1" applyFont="1" applyFill="1" applyBorder="1"/>
    <xf numFmtId="49" fontId="150" fillId="0" borderId="0" xfId="0" applyNumberFormat="1" applyFont="1" applyBorder="1" applyAlignment="1"/>
    <xf numFmtId="43" fontId="138" fillId="15" borderId="38" xfId="0" applyNumberFormat="1" applyFont="1" applyFill="1" applyBorder="1"/>
    <xf numFmtId="49" fontId="150" fillId="0" borderId="45" xfId="0" applyNumberFormat="1" applyFont="1" applyBorder="1" applyAlignment="1"/>
    <xf numFmtId="49" fontId="150" fillId="0" borderId="219" xfId="0" applyNumberFormat="1" applyFont="1" applyBorder="1" applyAlignment="1"/>
    <xf numFmtId="43" fontId="143" fillId="0" borderId="334" xfId="1" applyNumberFormat="1" applyFont="1" applyBorder="1" applyAlignment="1">
      <alignment horizontal="center"/>
    </xf>
    <xf numFmtId="43" fontId="143" fillId="0" borderId="334" xfId="1" applyNumberFormat="1" applyFont="1" applyBorder="1"/>
    <xf numFmtId="43" fontId="146" fillId="0" borderId="308" xfId="1" applyNumberFormat="1" applyFont="1" applyBorder="1" applyAlignment="1">
      <alignment horizontal="center"/>
    </xf>
    <xf numFmtId="43" fontId="138" fillId="0" borderId="210" xfId="1" applyNumberFormat="1" applyFont="1" applyFill="1" applyBorder="1"/>
    <xf numFmtId="43" fontId="146" fillId="0" borderId="210" xfId="1" applyNumberFormat="1" applyFont="1" applyBorder="1"/>
    <xf numFmtId="44" fontId="150" fillId="0" borderId="210" xfId="0" applyNumberFormat="1" applyFont="1" applyBorder="1" applyAlignment="1">
      <alignment horizontal="center"/>
    </xf>
    <xf numFmtId="0" fontId="138" fillId="0" borderId="210" xfId="0" applyFont="1" applyBorder="1"/>
    <xf numFmtId="43" fontId="138" fillId="0" borderId="210" xfId="0" applyNumberFormat="1" applyFont="1" applyFill="1" applyBorder="1"/>
    <xf numFmtId="0" fontId="165" fillId="0" borderId="210" xfId="0" applyFont="1" applyFill="1" applyBorder="1"/>
    <xf numFmtId="0" fontId="138" fillId="0" borderId="210" xfId="0" applyFont="1" applyFill="1" applyBorder="1"/>
    <xf numFmtId="43" fontId="172" fillId="0" borderId="210" xfId="0" applyNumberFormat="1" applyFont="1" applyFill="1" applyBorder="1" applyAlignment="1">
      <alignment horizontal="center"/>
    </xf>
    <xf numFmtId="43" fontId="171" fillId="0" borderId="210" xfId="0" applyNumberFormat="1" applyFont="1" applyFill="1" applyBorder="1"/>
    <xf numFmtId="0" fontId="138" fillId="0" borderId="225" xfId="0" applyFont="1" applyBorder="1"/>
    <xf numFmtId="49" fontId="150" fillId="19" borderId="38" xfId="0" applyNumberFormat="1" applyFont="1" applyFill="1" applyBorder="1" applyAlignment="1">
      <alignment horizontal="center"/>
    </xf>
    <xf numFmtId="43" fontId="150" fillId="19" borderId="0" xfId="1" applyNumberFormat="1" applyFont="1" applyFill="1" applyBorder="1" applyAlignment="1">
      <alignment horizontal="center"/>
    </xf>
    <xf numFmtId="43" fontId="178" fillId="16" borderId="6" xfId="1" applyNumberFormat="1" applyFont="1" applyFill="1" applyBorder="1" applyAlignment="1">
      <alignment horizontal="center"/>
    </xf>
    <xf numFmtId="0" fontId="175" fillId="16" borderId="38" xfId="0" applyFont="1" applyFill="1" applyBorder="1" applyAlignment="1">
      <alignment vertical="center"/>
    </xf>
    <xf numFmtId="0" fontId="142" fillId="19" borderId="0" xfId="0" applyFont="1" applyFill="1" applyBorder="1" applyAlignment="1">
      <alignment vertical="center"/>
    </xf>
    <xf numFmtId="43" fontId="146" fillId="0" borderId="0" xfId="1" applyNumberFormat="1" applyFont="1" applyBorder="1" applyAlignment="1">
      <alignment horizontal="center"/>
    </xf>
    <xf numFmtId="44" fontId="150" fillId="0" borderId="0" xfId="0" applyNumberFormat="1" applyFont="1" applyBorder="1" applyAlignment="1">
      <alignment horizontal="center"/>
    </xf>
    <xf numFmtId="43" fontId="150" fillId="23" borderId="37" xfId="1" applyNumberFormat="1" applyFont="1" applyFill="1" applyBorder="1"/>
    <xf numFmtId="43" fontId="146" fillId="23" borderId="0" xfId="1" applyNumberFormat="1" applyFont="1" applyFill="1" applyBorder="1"/>
    <xf numFmtId="43" fontId="138" fillId="4" borderId="0" xfId="0" applyNumberFormat="1" applyFont="1" applyFill="1"/>
    <xf numFmtId="2" fontId="162" fillId="0" borderId="0" xfId="1" applyNumberFormat="1" applyFont="1" applyFill="1" applyBorder="1"/>
    <xf numFmtId="43" fontId="150" fillId="0" borderId="210" xfId="1" applyNumberFormat="1" applyFont="1" applyFill="1" applyBorder="1"/>
    <xf numFmtId="164" fontId="138" fillId="0" borderId="210" xfId="1" applyFont="1" applyBorder="1" applyAlignment="1"/>
    <xf numFmtId="1" fontId="173" fillId="0" borderId="0" xfId="0" applyNumberFormat="1" applyFont="1" applyFill="1" applyBorder="1" applyAlignment="1">
      <alignment horizontal="center"/>
    </xf>
    <xf numFmtId="43" fontId="156" fillId="0" borderId="0" xfId="0" applyNumberFormat="1" applyFont="1" applyFill="1" applyBorder="1"/>
    <xf numFmtId="0" fontId="146" fillId="0" borderId="54" xfId="0" applyFont="1" applyBorder="1"/>
    <xf numFmtId="43" fontId="146" fillId="0" borderId="0" xfId="0" applyNumberFormat="1" applyFont="1"/>
    <xf numFmtId="0" fontId="146" fillId="0" borderId="0" xfId="0" applyFont="1" applyBorder="1"/>
    <xf numFmtId="43" fontId="163" fillId="0" borderId="0" xfId="1" applyNumberFormat="1" applyFont="1" applyFill="1" applyBorder="1" applyAlignment="1">
      <alignment vertical="center"/>
    </xf>
    <xf numFmtId="43" fontId="180" fillId="27" borderId="0" xfId="1" applyNumberFormat="1" applyFont="1" applyFill="1" applyBorder="1"/>
    <xf numFmtId="43" fontId="165" fillId="27" borderId="0" xfId="1" applyNumberFormat="1" applyFont="1" applyFill="1" applyBorder="1"/>
    <xf numFmtId="0" fontId="181" fillId="37" borderId="0" xfId="0" applyFont="1" applyFill="1" applyAlignment="1">
      <alignment horizontal="center" vertical="center"/>
    </xf>
    <xf numFmtId="43" fontId="182" fillId="0" borderId="37" xfId="1" applyNumberFormat="1" applyFont="1" applyBorder="1"/>
    <xf numFmtId="0" fontId="158" fillId="0" borderId="0" xfId="0" applyFont="1" applyAlignment="1">
      <alignment horizontal="left"/>
    </xf>
    <xf numFmtId="0" fontId="152" fillId="0" borderId="0" xfId="0" applyFont="1" applyAlignment="1">
      <alignment horizontal="left"/>
    </xf>
    <xf numFmtId="0" fontId="183" fillId="0" borderId="3" xfId="0" applyFont="1" applyBorder="1" applyAlignment="1">
      <alignment horizontal="center" vertical="center"/>
    </xf>
    <xf numFmtId="0" fontId="183" fillId="0" borderId="8" xfId="0" applyFont="1" applyBorder="1" applyAlignment="1">
      <alignment horizontal="center" vertical="center"/>
    </xf>
    <xf numFmtId="49" fontId="138" fillId="0" borderId="38" xfId="1" applyNumberFormat="1" applyFont="1" applyBorder="1" applyAlignment="1">
      <alignment horizontal="center"/>
    </xf>
    <xf numFmtId="43" fontId="146" fillId="0" borderId="38" xfId="1" applyNumberFormat="1" applyFont="1" applyBorder="1"/>
    <xf numFmtId="164" fontId="138" fillId="0" borderId="38" xfId="1" applyFont="1" applyBorder="1" applyAlignment="1"/>
    <xf numFmtId="0" fontId="158" fillId="0" borderId="38" xfId="0" applyFont="1" applyBorder="1" applyAlignment="1">
      <alignment horizontal="left"/>
    </xf>
    <xf numFmtId="0" fontId="152" fillId="0" borderId="38" xfId="0" applyFont="1" applyBorder="1" applyAlignment="1">
      <alignment horizontal="center"/>
    </xf>
    <xf numFmtId="43" fontId="138" fillId="0" borderId="52" xfId="1" applyNumberFormat="1" applyFont="1" applyBorder="1"/>
    <xf numFmtId="43" fontId="150" fillId="0" borderId="77" xfId="1" applyNumberFormat="1" applyFont="1" applyBorder="1"/>
    <xf numFmtId="43" fontId="138" fillId="0" borderId="37" xfId="1" applyNumberFormat="1" applyFont="1" applyBorder="1"/>
    <xf numFmtId="43" fontId="150" fillId="0" borderId="44" xfId="1" applyNumberFormat="1" applyFont="1" applyBorder="1"/>
    <xf numFmtId="49" fontId="139" fillId="0" borderId="0" xfId="1" applyNumberFormat="1" applyFont="1" applyBorder="1"/>
    <xf numFmtId="0" fontId="138" fillId="0" borderId="53" xfId="0" applyFont="1" applyBorder="1"/>
    <xf numFmtId="43" fontId="151" fillId="0" borderId="0" xfId="1" applyNumberFormat="1" applyFont="1" applyFill="1" applyBorder="1"/>
    <xf numFmtId="0" fontId="157" fillId="0" borderId="0" xfId="0" applyFont="1" applyFill="1" applyBorder="1" applyAlignment="1">
      <alignment horizontal="center"/>
    </xf>
    <xf numFmtId="0" fontId="138" fillId="0" borderId="345" xfId="0" applyFont="1" applyBorder="1"/>
    <xf numFmtId="0" fontId="138" fillId="0" borderId="187" xfId="0" applyFont="1" applyBorder="1"/>
    <xf numFmtId="0" fontId="138" fillId="0" borderId="346" xfId="0" applyFont="1" applyBorder="1"/>
    <xf numFmtId="0" fontId="138" fillId="0" borderId="80" xfId="0" applyFont="1" applyBorder="1"/>
    <xf numFmtId="0" fontId="138" fillId="0" borderId="0" xfId="0" applyFont="1" applyFill="1" applyBorder="1" applyAlignment="1">
      <alignment horizontal="center"/>
    </xf>
    <xf numFmtId="43" fontId="150" fillId="0" borderId="0" xfId="1" applyNumberFormat="1" applyFont="1" applyFill="1" applyBorder="1" applyAlignment="1">
      <alignment horizontal="center"/>
    </xf>
    <xf numFmtId="0" fontId="138" fillId="0" borderId="79" xfId="0" applyFont="1" applyBorder="1"/>
    <xf numFmtId="0" fontId="165" fillId="0" borderId="0" xfId="0" applyFont="1" applyAlignment="1">
      <alignment horizontal="center"/>
    </xf>
    <xf numFmtId="0" fontId="139" fillId="0" borderId="0" xfId="0" applyFont="1" applyAlignment="1">
      <alignment horizontal="center"/>
    </xf>
    <xf numFmtId="0" fontId="138" fillId="0" borderId="45" xfId="0" applyFont="1" applyBorder="1"/>
    <xf numFmtId="0" fontId="135" fillId="0" borderId="87" xfId="0" applyFont="1" applyFill="1" applyBorder="1" applyAlignment="1">
      <alignment horizontal="center"/>
    </xf>
    <xf numFmtId="0" fontId="154" fillId="0" borderId="87" xfId="1" applyNumberFormat="1" applyFont="1" applyFill="1" applyBorder="1" applyAlignment="1">
      <alignment horizontal="center"/>
    </xf>
    <xf numFmtId="0" fontId="138" fillId="0" borderId="347" xfId="0" applyFont="1" applyBorder="1"/>
    <xf numFmtId="43" fontId="150" fillId="0" borderId="53" xfId="1" applyNumberFormat="1" applyFont="1" applyFill="1" applyBorder="1"/>
    <xf numFmtId="43" fontId="150" fillId="0" borderId="54" xfId="1" applyNumberFormat="1" applyFont="1" applyFill="1" applyBorder="1"/>
    <xf numFmtId="1" fontId="169" fillId="0" borderId="0" xfId="0" applyNumberFormat="1" applyFont="1" applyBorder="1" applyAlignment="1">
      <alignment horizontal="center"/>
    </xf>
    <xf numFmtId="43" fontId="138" fillId="0" borderId="0" xfId="0" applyNumberFormat="1" applyFont="1" applyAlignment="1">
      <alignment vertical="center"/>
    </xf>
    <xf numFmtId="0" fontId="141" fillId="0" borderId="0" xfId="0" applyFont="1" applyBorder="1" applyAlignment="1">
      <alignment horizontal="center" vertical="center"/>
    </xf>
    <xf numFmtId="0" fontId="184" fillId="0" borderId="38" xfId="0" applyFont="1" applyBorder="1" applyAlignment="1"/>
    <xf numFmtId="0" fontId="141" fillId="0" borderId="54" xfId="0" applyFont="1" applyBorder="1" applyAlignment="1">
      <alignment horizontal="center" vertical="center"/>
    </xf>
    <xf numFmtId="0" fontId="157" fillId="0" borderId="51" xfId="0" applyFont="1" applyBorder="1" applyAlignment="1">
      <alignment horizontal="center" vertical="center"/>
    </xf>
    <xf numFmtId="43" fontId="161" fillId="0" borderId="0" xfId="0" applyNumberFormat="1" applyFont="1" applyAlignment="1"/>
    <xf numFmtId="43" fontId="138" fillId="0" borderId="0" xfId="0" applyNumberFormat="1" applyFont="1" applyAlignment="1"/>
    <xf numFmtId="0" fontId="185" fillId="0" borderId="38" xfId="1" applyNumberFormat="1" applyFont="1" applyBorder="1" applyAlignment="1">
      <alignment horizontal="center" vertical="center"/>
    </xf>
    <xf numFmtId="43" fontId="138" fillId="0" borderId="0" xfId="0" applyNumberFormat="1" applyFont="1" applyAlignment="1">
      <alignment horizontal="center"/>
    </xf>
    <xf numFmtId="49" fontId="138" fillId="0" borderId="128" xfId="1" applyNumberFormat="1" applyFont="1" applyBorder="1" applyAlignment="1">
      <alignment horizontal="center"/>
    </xf>
    <xf numFmtId="43" fontId="144" fillId="0" borderId="123" xfId="0" applyNumberFormat="1" applyFont="1" applyBorder="1" applyAlignment="1"/>
    <xf numFmtId="49" fontId="138" fillId="0" borderId="6" xfId="1" applyNumberFormat="1" applyFont="1" applyBorder="1" applyAlignment="1">
      <alignment horizontal="center"/>
    </xf>
    <xf numFmtId="43" fontId="144" fillId="0" borderId="28" xfId="0" applyNumberFormat="1" applyFont="1" applyBorder="1" applyAlignment="1"/>
    <xf numFmtId="43" fontId="150" fillId="0" borderId="45" xfId="1" applyNumberFormat="1" applyFont="1" applyBorder="1"/>
    <xf numFmtId="43" fontId="138" fillId="0" borderId="0" xfId="0" applyNumberFormat="1" applyFont="1" applyAlignment="1">
      <alignment horizontal="left"/>
    </xf>
    <xf numFmtId="1" fontId="176" fillId="16" borderId="51" xfId="0" applyNumberFormat="1" applyFont="1" applyFill="1" applyBorder="1" applyAlignment="1">
      <alignment vertical="center"/>
    </xf>
    <xf numFmtId="43" fontId="138" fillId="9" borderId="0" xfId="0" applyNumberFormat="1" applyFont="1" applyFill="1"/>
    <xf numFmtId="0" fontId="138" fillId="0" borderId="8" xfId="0" applyFont="1" applyBorder="1"/>
    <xf numFmtId="49" fontId="138" fillId="0" borderId="105" xfId="1" applyNumberFormat="1" applyFont="1" applyBorder="1" applyAlignment="1">
      <alignment horizontal="center"/>
    </xf>
    <xf numFmtId="49" fontId="138" fillId="0" borderId="43" xfId="1" applyNumberFormat="1" applyFont="1" applyBorder="1" applyAlignment="1">
      <alignment horizontal="center"/>
    </xf>
    <xf numFmtId="43" fontId="172" fillId="0" borderId="0" xfId="0" applyNumberFormat="1" applyFont="1"/>
    <xf numFmtId="0" fontId="172" fillId="0" borderId="0" xfId="0" applyFont="1"/>
    <xf numFmtId="0" fontId="147" fillId="0" borderId="2" xfId="0" applyFont="1" applyBorder="1" applyAlignment="1">
      <alignment horizontal="center"/>
    </xf>
    <xf numFmtId="0" fontId="138" fillId="0" borderId="3" xfId="0" applyFont="1" applyBorder="1"/>
    <xf numFmtId="0" fontId="187" fillId="0" borderId="4" xfId="0" applyFont="1" applyBorder="1" applyAlignment="1">
      <alignment horizontal="center"/>
    </xf>
    <xf numFmtId="43" fontId="166" fillId="2" borderId="38" xfId="1" applyNumberFormat="1" applyFont="1" applyFill="1" applyBorder="1"/>
    <xf numFmtId="0" fontId="139" fillId="0" borderId="210" xfId="0" applyFont="1" applyBorder="1" applyAlignment="1">
      <alignment horizontal="center"/>
    </xf>
    <xf numFmtId="0" fontId="147" fillId="0" borderId="5" xfId="0" applyFont="1" applyBorder="1"/>
    <xf numFmtId="0" fontId="187" fillId="0" borderId="6" xfId="0" applyFont="1" applyBorder="1"/>
    <xf numFmtId="164" fontId="138" fillId="0" borderId="47" xfId="1" applyFont="1" applyBorder="1"/>
    <xf numFmtId="43" fontId="138" fillId="0" borderId="8" xfId="0" applyNumberFormat="1" applyFont="1" applyBorder="1"/>
    <xf numFmtId="43" fontId="187" fillId="0" borderId="9" xfId="0" applyNumberFormat="1" applyFont="1" applyBorder="1"/>
    <xf numFmtId="0" fontId="138" fillId="0" borderId="43" xfId="0" applyFont="1" applyBorder="1"/>
    <xf numFmtId="0" fontId="139" fillId="0" borderId="0" xfId="0" applyFont="1" applyFill="1" applyBorder="1" applyAlignment="1">
      <alignment horizontal="center"/>
    </xf>
    <xf numFmtId="0" fontId="138" fillId="0" borderId="348" xfId="0" applyFont="1" applyBorder="1"/>
    <xf numFmtId="0" fontId="138" fillId="0" borderId="318" xfId="0" applyFont="1" applyBorder="1"/>
    <xf numFmtId="0" fontId="138" fillId="0" borderId="349" xfId="0" applyFont="1" applyBorder="1"/>
    <xf numFmtId="0" fontId="188" fillId="0" borderId="43" xfId="0" applyFont="1" applyBorder="1" applyAlignment="1">
      <alignment horizontal="center" vertical="center"/>
    </xf>
    <xf numFmtId="0" fontId="188" fillId="0" borderId="0" xfId="0" applyFont="1" applyBorder="1" applyAlignment="1">
      <alignment horizontal="center" vertical="center"/>
    </xf>
    <xf numFmtId="0" fontId="138" fillId="0" borderId="41" xfId="0" applyFont="1" applyBorder="1"/>
    <xf numFmtId="164" fontId="150" fillId="0" borderId="40" xfId="1" applyFont="1" applyBorder="1"/>
    <xf numFmtId="164" fontId="150" fillId="0" borderId="0" xfId="1" applyFont="1" applyBorder="1"/>
    <xf numFmtId="0" fontId="189" fillId="0" borderId="38" xfId="1" applyNumberFormat="1" applyFont="1" applyFill="1" applyBorder="1" applyAlignment="1">
      <alignment horizontal="center"/>
    </xf>
    <xf numFmtId="43" fontId="152" fillId="0" borderId="339" xfId="1" applyNumberFormat="1" applyFont="1" applyBorder="1"/>
    <xf numFmtId="43" fontId="152" fillId="0" borderId="30" xfId="1" applyNumberFormat="1" applyFont="1" applyBorder="1"/>
    <xf numFmtId="49" fontId="146" fillId="0" borderId="0" xfId="0" applyNumberFormat="1" applyFont="1" applyAlignment="1">
      <alignment horizontal="right"/>
    </xf>
    <xf numFmtId="49" fontId="146" fillId="0" borderId="0" xfId="0" applyNumberFormat="1" applyFont="1" applyBorder="1" applyAlignment="1">
      <alignment horizontal="right"/>
    </xf>
    <xf numFmtId="164" fontId="146" fillId="0" borderId="0" xfId="0" applyNumberFormat="1" applyFont="1"/>
    <xf numFmtId="43" fontId="146" fillId="0" borderId="38" xfId="0" applyNumberFormat="1" applyFont="1" applyBorder="1"/>
    <xf numFmtId="49" fontId="146" fillId="0" borderId="0" xfId="1" applyNumberFormat="1" applyFont="1" applyBorder="1" applyAlignment="1">
      <alignment horizontal="right"/>
    </xf>
    <xf numFmtId="43" fontId="152" fillId="0" borderId="0" xfId="1" applyNumberFormat="1" applyFont="1" applyBorder="1"/>
    <xf numFmtId="43" fontId="165" fillId="0" borderId="57" xfId="0" applyNumberFormat="1" applyFont="1" applyBorder="1"/>
    <xf numFmtId="43" fontId="190" fillId="17" borderId="0" xfId="0" applyNumberFormat="1" applyFont="1" applyFill="1" applyBorder="1" applyAlignment="1">
      <alignment horizontal="center"/>
    </xf>
    <xf numFmtId="0" fontId="157" fillId="0" borderId="51" xfId="0" applyNumberFormat="1" applyFont="1" applyBorder="1" applyAlignment="1">
      <alignment horizontal="center"/>
    </xf>
    <xf numFmtId="43" fontId="191" fillId="0" borderId="57" xfId="0" applyNumberFormat="1" applyFont="1" applyFill="1" applyBorder="1"/>
    <xf numFmtId="43" fontId="173" fillId="0" borderId="0" xfId="0" applyNumberFormat="1" applyFont="1" applyFill="1"/>
    <xf numFmtId="164" fontId="141" fillId="0" borderId="0" xfId="1" applyFont="1" applyBorder="1" applyAlignment="1">
      <alignment horizontal="center"/>
    </xf>
    <xf numFmtId="43" fontId="153" fillId="0" borderId="0" xfId="0" applyNumberFormat="1" applyFont="1" applyFill="1" applyBorder="1" applyAlignment="1">
      <alignment horizontal="center"/>
    </xf>
    <xf numFmtId="43" fontId="153" fillId="0" borderId="0" xfId="0" applyNumberFormat="1" applyFont="1" applyFill="1" applyBorder="1" applyAlignment="1"/>
    <xf numFmtId="43" fontId="152" fillId="0" borderId="0" xfId="0" applyNumberFormat="1" applyFont="1" applyBorder="1" applyAlignment="1"/>
    <xf numFmtId="0" fontId="189" fillId="0" borderId="0" xfId="0" applyFont="1" applyBorder="1" applyAlignment="1">
      <alignment horizontal="center"/>
    </xf>
    <xf numFmtId="43" fontId="152" fillId="0" borderId="159" xfId="1" applyNumberFormat="1" applyFont="1" applyBorder="1"/>
    <xf numFmtId="0" fontId="192" fillId="37" borderId="0" xfId="0" applyFont="1" applyFill="1" applyBorder="1" applyAlignment="1">
      <alignment horizontal="center" vertical="center"/>
    </xf>
    <xf numFmtId="43" fontId="152" fillId="0" borderId="0" xfId="0" applyNumberFormat="1" applyFont="1" applyFill="1" applyBorder="1" applyAlignment="1"/>
    <xf numFmtId="0" fontId="138" fillId="0" borderId="0" xfId="0" applyFont="1" applyFill="1" applyAlignment="1">
      <alignment horizontal="center"/>
    </xf>
    <xf numFmtId="0" fontId="184" fillId="0" borderId="0" xfId="0" applyFont="1" applyBorder="1" applyAlignment="1"/>
    <xf numFmtId="0" fontId="189" fillId="0" borderId="38" xfId="1" applyNumberFormat="1" applyFont="1" applyBorder="1" applyAlignment="1">
      <alignment horizontal="center"/>
    </xf>
    <xf numFmtId="0" fontId="151" fillId="0" borderId="0" xfId="0" applyFont="1" applyBorder="1"/>
    <xf numFmtId="0" fontId="157" fillId="0" borderId="0" xfId="0" applyNumberFormat="1" applyFont="1" applyBorder="1" applyAlignment="1">
      <alignment horizontal="center"/>
    </xf>
    <xf numFmtId="0" fontId="193" fillId="0" borderId="40" xfId="0" applyFont="1" applyFill="1" applyBorder="1" applyAlignment="1">
      <alignment horizontal="center" vertical="center"/>
    </xf>
    <xf numFmtId="0" fontId="166" fillId="0" borderId="0" xfId="0" applyFont="1" applyBorder="1" applyAlignment="1">
      <alignment horizontal="center"/>
    </xf>
    <xf numFmtId="43" fontId="152" fillId="0" borderId="233" xfId="1" applyNumberFormat="1" applyFont="1" applyBorder="1"/>
    <xf numFmtId="0" fontId="157" fillId="0" borderId="52" xfId="0" applyNumberFormat="1" applyFont="1" applyBorder="1" applyAlignment="1">
      <alignment horizontal="center"/>
    </xf>
    <xf numFmtId="164" fontId="141" fillId="0" borderId="49" xfId="1" applyFont="1" applyBorder="1" applyAlignment="1">
      <alignment horizontal="center"/>
    </xf>
    <xf numFmtId="0" fontId="141" fillId="0" borderId="38" xfId="0" applyFont="1" applyBorder="1" applyAlignment="1">
      <alignment horizontal="center"/>
    </xf>
    <xf numFmtId="0" fontId="183" fillId="0" borderId="49" xfId="0" applyFont="1" applyBorder="1" applyAlignment="1">
      <alignment horizontal="center"/>
    </xf>
    <xf numFmtId="164" fontId="185" fillId="0" borderId="49" xfId="1" applyFont="1" applyBorder="1" applyAlignment="1">
      <alignment horizontal="center"/>
    </xf>
    <xf numFmtId="164" fontId="166" fillId="0" borderId="49" xfId="1" applyFont="1" applyBorder="1" applyAlignment="1">
      <alignment horizontal="center"/>
    </xf>
    <xf numFmtId="0" fontId="138" fillId="0" borderId="49" xfId="1" applyNumberFormat="1" applyFont="1" applyBorder="1"/>
    <xf numFmtId="49" fontId="138" fillId="0" borderId="48" xfId="1" applyNumberFormat="1" applyFont="1" applyBorder="1"/>
    <xf numFmtId="43" fontId="152" fillId="0" borderId="171" xfId="1" applyNumberFormat="1" applyFont="1" applyBorder="1"/>
    <xf numFmtId="0" fontId="151" fillId="0" borderId="56" xfId="0" applyFont="1" applyBorder="1"/>
    <xf numFmtId="0" fontId="189" fillId="0" borderId="0" xfId="1" applyNumberFormat="1" applyFont="1" applyBorder="1" applyAlignment="1">
      <alignment horizontal="center"/>
    </xf>
    <xf numFmtId="0" fontId="166" fillId="0" borderId="0" xfId="1" applyNumberFormat="1" applyFont="1" applyBorder="1" applyAlignment="1">
      <alignment horizontal="center"/>
    </xf>
    <xf numFmtId="164" fontId="151" fillId="0" borderId="0" xfId="1" applyFont="1" applyBorder="1"/>
    <xf numFmtId="0" fontId="166" fillId="0" borderId="0" xfId="1" applyNumberFormat="1" applyFont="1" applyBorder="1"/>
    <xf numFmtId="0" fontId="189" fillId="0" borderId="38" xfId="1" applyNumberFormat="1" applyFont="1" applyBorder="1"/>
    <xf numFmtId="0" fontId="189" fillId="0" borderId="38" xfId="0" applyFont="1" applyBorder="1" applyAlignment="1">
      <alignment horizontal="center"/>
    </xf>
    <xf numFmtId="164" fontId="138" fillId="0" borderId="55" xfId="1" applyFont="1" applyBorder="1"/>
    <xf numFmtId="0" fontId="185" fillId="0" borderId="55" xfId="0" applyFont="1" applyBorder="1" applyAlignment="1">
      <alignment horizontal="center" vertical="center"/>
    </xf>
    <xf numFmtId="0" fontId="138" fillId="0" borderId="55" xfId="1" applyNumberFormat="1" applyFont="1" applyBorder="1" applyAlignment="1">
      <alignment horizontal="center"/>
    </xf>
    <xf numFmtId="0" fontId="166" fillId="0" borderId="55" xfId="0" applyFont="1" applyBorder="1" applyAlignment="1">
      <alignment horizontal="center"/>
    </xf>
    <xf numFmtId="0" fontId="139" fillId="0" borderId="55" xfId="1" applyNumberFormat="1" applyFont="1" applyBorder="1" applyAlignment="1">
      <alignment horizontal="center"/>
    </xf>
    <xf numFmtId="164" fontId="138" fillId="0" borderId="76" xfId="1" applyFont="1" applyBorder="1"/>
    <xf numFmtId="43" fontId="172" fillId="0" borderId="0" xfId="0" applyNumberFormat="1" applyFont="1" applyBorder="1"/>
    <xf numFmtId="43" fontId="171" fillId="0" borderId="234" xfId="0" applyNumberFormat="1" applyFont="1" applyBorder="1" applyAlignment="1">
      <alignment horizontal="center"/>
    </xf>
    <xf numFmtId="43" fontId="194" fillId="0" borderId="122" xfId="0" applyNumberFormat="1" applyFont="1" applyBorder="1" applyAlignment="1"/>
    <xf numFmtId="43" fontId="171" fillId="0" borderId="233" xfId="0" applyNumberFormat="1" applyFont="1" applyBorder="1"/>
    <xf numFmtId="43" fontId="144" fillId="0" borderId="234" xfId="0" applyNumberFormat="1" applyFont="1" applyBorder="1" applyAlignment="1"/>
    <xf numFmtId="0" fontId="138" fillId="0" borderId="0" xfId="0" applyNumberFormat="1" applyFont="1" applyBorder="1"/>
    <xf numFmtId="164" fontId="138" fillId="0" borderId="128" xfId="1" applyFont="1" applyBorder="1"/>
    <xf numFmtId="43" fontId="171" fillId="0" borderId="122" xfId="0" applyNumberFormat="1" applyFont="1" applyBorder="1" applyAlignment="1">
      <alignment horizontal="center"/>
    </xf>
    <xf numFmtId="43" fontId="146" fillId="0" borderId="0" xfId="0" applyNumberFormat="1" applyFont="1" applyFill="1" applyBorder="1"/>
    <xf numFmtId="0" fontId="151" fillId="0" borderId="0" xfId="0" applyFont="1"/>
    <xf numFmtId="43" fontId="172" fillId="0" borderId="0" xfId="0" applyNumberFormat="1" applyFont="1" applyFill="1" applyBorder="1"/>
    <xf numFmtId="43" fontId="171" fillId="0" borderId="335" xfId="0" applyNumberFormat="1" applyFont="1" applyBorder="1" applyAlignment="1">
      <alignment horizontal="center"/>
    </xf>
    <xf numFmtId="164" fontId="185" fillId="0" borderId="0" xfId="1" applyFont="1" applyBorder="1" applyAlignment="1">
      <alignment horizontal="center"/>
    </xf>
    <xf numFmtId="43" fontId="194" fillId="0" borderId="121" xfId="0" applyNumberFormat="1" applyFont="1" applyBorder="1" applyAlignment="1"/>
    <xf numFmtId="43" fontId="171" fillId="0" borderId="171" xfId="0" applyNumberFormat="1" applyFont="1" applyBorder="1"/>
    <xf numFmtId="43" fontId="144" fillId="0" borderId="335" xfId="0" applyNumberFormat="1" applyFont="1" applyBorder="1" applyAlignment="1"/>
    <xf numFmtId="164" fontId="138" fillId="0" borderId="6" xfId="1" applyFont="1" applyBorder="1"/>
    <xf numFmtId="43" fontId="171" fillId="0" borderId="121" xfId="0" applyNumberFormat="1" applyFont="1" applyBorder="1" applyAlignment="1">
      <alignment horizontal="center"/>
    </xf>
    <xf numFmtId="49" fontId="151" fillId="0" borderId="0" xfId="1" applyNumberFormat="1" applyFont="1" applyBorder="1" applyAlignment="1">
      <alignment horizontal="right"/>
    </xf>
    <xf numFmtId="0" fontId="185" fillId="0" borderId="0" xfId="0" applyFont="1" applyBorder="1" applyAlignment="1">
      <alignment horizontal="center" vertical="center"/>
    </xf>
    <xf numFmtId="43" fontId="152" fillId="0" borderId="337" xfId="1" applyNumberFormat="1" applyFont="1" applyBorder="1"/>
    <xf numFmtId="0" fontId="138" fillId="0" borderId="6" xfId="0" applyFont="1" applyBorder="1"/>
    <xf numFmtId="49" fontId="138" fillId="0" borderId="6" xfId="1" applyNumberFormat="1" applyFont="1" applyBorder="1"/>
    <xf numFmtId="43" fontId="171" fillId="0" borderId="336" xfId="0" applyNumberFormat="1" applyFont="1" applyBorder="1" applyAlignment="1">
      <alignment horizontal="center"/>
    </xf>
    <xf numFmtId="164" fontId="138" fillId="0" borderId="38" xfId="1" applyFont="1" applyBorder="1"/>
    <xf numFmtId="43" fontId="194" fillId="0" borderId="124" xfId="0" applyNumberFormat="1" applyFont="1" applyBorder="1" applyAlignment="1"/>
    <xf numFmtId="43" fontId="152" fillId="0" borderId="342" xfId="1" applyNumberFormat="1" applyFont="1" applyBorder="1"/>
    <xf numFmtId="43" fontId="171" fillId="0" borderId="337" xfId="0" applyNumberFormat="1" applyFont="1" applyBorder="1"/>
    <xf numFmtId="43" fontId="144" fillId="0" borderId="336" xfId="0" applyNumberFormat="1" applyFont="1" applyBorder="1" applyAlignment="1"/>
    <xf numFmtId="49" fontId="138" fillId="0" borderId="328" xfId="1" applyNumberFormat="1" applyFont="1" applyBorder="1"/>
    <xf numFmtId="43" fontId="171" fillId="0" borderId="167" xfId="0" applyNumberFormat="1" applyFont="1" applyBorder="1" applyAlignment="1">
      <alignment horizontal="center"/>
    </xf>
    <xf numFmtId="43" fontId="194" fillId="0" borderId="167" xfId="0" applyNumberFormat="1" applyFont="1" applyBorder="1" applyAlignment="1"/>
    <xf numFmtId="49" fontId="138" fillId="0" borderId="39" xfId="1" applyNumberFormat="1" applyFont="1" applyBorder="1" applyAlignment="1">
      <alignment horizontal="center"/>
    </xf>
    <xf numFmtId="43" fontId="166" fillId="2" borderId="0" xfId="1" applyNumberFormat="1" applyFont="1" applyFill="1" applyBorder="1"/>
    <xf numFmtId="164" fontId="138" fillId="0" borderId="52" xfId="1" applyFont="1" applyBorder="1"/>
    <xf numFmtId="43" fontId="138" fillId="0" borderId="51" xfId="1" applyNumberFormat="1" applyFont="1" applyBorder="1"/>
    <xf numFmtId="49" fontId="138" fillId="0" borderId="49" xfId="1" applyNumberFormat="1" applyFont="1" applyBorder="1"/>
    <xf numFmtId="164" fontId="146" fillId="0" borderId="50" xfId="1" applyFont="1" applyBorder="1"/>
    <xf numFmtId="43" fontId="155" fillId="0" borderId="49" xfId="1" applyNumberFormat="1" applyFont="1" applyBorder="1" applyAlignment="1">
      <alignment horizontal="center" vertical="center"/>
    </xf>
    <xf numFmtId="0" fontId="138" fillId="0" borderId="48" xfId="0" applyFont="1" applyBorder="1"/>
    <xf numFmtId="43" fontId="157" fillId="0" borderId="0" xfId="1" applyNumberFormat="1" applyFont="1" applyBorder="1" applyAlignment="1">
      <alignment horizontal="center"/>
    </xf>
    <xf numFmtId="0" fontId="138" fillId="0" borderId="0" xfId="1" applyNumberFormat="1" applyFont="1" applyBorder="1"/>
    <xf numFmtId="43" fontId="153" fillId="15" borderId="45" xfId="1" applyNumberFormat="1" applyFont="1" applyFill="1" applyBorder="1"/>
    <xf numFmtId="43" fontId="169" fillId="15" borderId="1" xfId="1" applyNumberFormat="1" applyFont="1" applyFill="1" applyBorder="1"/>
    <xf numFmtId="164" fontId="138" fillId="0" borderId="42" xfId="1" applyFont="1" applyBorder="1"/>
    <xf numFmtId="49" fontId="164" fillId="0" borderId="0" xfId="1" applyNumberFormat="1" applyFont="1" applyBorder="1" applyAlignment="1"/>
    <xf numFmtId="49" fontId="164" fillId="0" borderId="5" xfId="1" applyNumberFormat="1" applyFont="1" applyBorder="1" applyAlignment="1"/>
    <xf numFmtId="0" fontId="138" fillId="0" borderId="42" xfId="0" applyFont="1" applyBorder="1"/>
    <xf numFmtId="43" fontId="151" fillId="0" borderId="0" xfId="0" applyNumberFormat="1" applyFont="1" applyBorder="1"/>
    <xf numFmtId="0" fontId="155" fillId="0" borderId="12" xfId="0" applyFont="1" applyBorder="1" applyAlignment="1">
      <alignment horizontal="left"/>
    </xf>
    <xf numFmtId="0" fontId="155" fillId="0" borderId="15" xfId="0" applyFont="1" applyBorder="1" applyAlignment="1">
      <alignment horizontal="left"/>
    </xf>
    <xf numFmtId="0" fontId="155" fillId="0" borderId="13" xfId="0" applyFont="1" applyBorder="1" applyAlignment="1">
      <alignment horizontal="left"/>
    </xf>
    <xf numFmtId="43" fontId="155" fillId="0" borderId="13" xfId="0" applyNumberFormat="1" applyFont="1" applyBorder="1"/>
    <xf numFmtId="0" fontId="188" fillId="0" borderId="0" xfId="0" applyFont="1" applyBorder="1" applyAlignment="1">
      <alignment horizontal="center"/>
    </xf>
    <xf numFmtId="0" fontId="195" fillId="0" borderId="0" xfId="0" applyFont="1" applyBorder="1" applyAlignment="1">
      <alignment horizontal="center"/>
    </xf>
    <xf numFmtId="0" fontId="188" fillId="0" borderId="42" xfId="0" applyFont="1" applyBorder="1" applyAlignment="1">
      <alignment horizontal="center"/>
    </xf>
    <xf numFmtId="0" fontId="138" fillId="0" borderId="40" xfId="0" applyFont="1" applyBorder="1"/>
    <xf numFmtId="49" fontId="138" fillId="0" borderId="40" xfId="1" applyNumberFormat="1" applyFont="1" applyBorder="1"/>
    <xf numFmtId="164" fontId="138" fillId="0" borderId="40" xfId="1" applyFont="1" applyBorder="1"/>
    <xf numFmtId="0" fontId="146" fillId="0" borderId="40" xfId="0" applyFont="1" applyBorder="1"/>
    <xf numFmtId="164" fontId="138" fillId="0" borderId="39" xfId="1" applyFont="1" applyBorder="1"/>
    <xf numFmtId="43" fontId="164" fillId="0" borderId="5" xfId="1" applyNumberFormat="1" applyFont="1" applyBorder="1" applyAlignment="1">
      <alignment horizontal="center"/>
    </xf>
    <xf numFmtId="43" fontId="164" fillId="0" borderId="0" xfId="1" applyNumberFormat="1" applyFont="1" applyBorder="1" applyAlignment="1">
      <alignment horizontal="center"/>
    </xf>
    <xf numFmtId="0" fontId="166" fillId="6" borderId="38" xfId="1" applyNumberFormat="1" applyFont="1" applyFill="1" applyBorder="1" applyAlignment="1">
      <alignment horizontal="center"/>
    </xf>
    <xf numFmtId="0" fontId="189" fillId="6" borderId="38" xfId="1" applyNumberFormat="1" applyFont="1" applyFill="1" applyBorder="1"/>
    <xf numFmtId="0" fontId="189" fillId="6" borderId="38" xfId="1" applyNumberFormat="1" applyFont="1" applyFill="1" applyBorder="1" applyAlignment="1">
      <alignment horizontal="center"/>
    </xf>
    <xf numFmtId="0" fontId="151" fillId="0" borderId="55" xfId="0" applyFont="1" applyBorder="1"/>
    <xf numFmtId="0" fontId="137" fillId="0" borderId="38" xfId="0" applyFont="1" applyBorder="1" applyAlignment="1">
      <alignment horizontal="center"/>
    </xf>
    <xf numFmtId="0" fontId="158" fillId="0" borderId="191" xfId="1" applyNumberFormat="1" applyFont="1" applyBorder="1" applyAlignment="1">
      <alignment horizontal="center"/>
    </xf>
    <xf numFmtId="164" fontId="151" fillId="0" borderId="55" xfId="1" applyFont="1" applyBorder="1"/>
    <xf numFmtId="0" fontId="189" fillId="6" borderId="338" xfId="1" applyNumberFormat="1" applyFont="1" applyFill="1" applyBorder="1"/>
    <xf numFmtId="43" fontId="172" fillId="0" borderId="171" xfId="0" applyNumberFormat="1" applyFont="1" applyBorder="1"/>
    <xf numFmtId="0" fontId="138" fillId="0" borderId="234" xfId="0" applyFont="1" applyBorder="1"/>
    <xf numFmtId="0" fontId="189" fillId="0" borderId="338" xfId="1" applyNumberFormat="1" applyFont="1" applyBorder="1" applyAlignment="1">
      <alignment horizontal="center"/>
    </xf>
    <xf numFmtId="43" fontId="152" fillId="0" borderId="240" xfId="1" applyNumberFormat="1" applyFont="1" applyBorder="1"/>
    <xf numFmtId="1" fontId="146" fillId="0" borderId="0" xfId="1" applyNumberFormat="1" applyFont="1" applyBorder="1"/>
    <xf numFmtId="0" fontId="146" fillId="0" borderId="233" xfId="0" applyFont="1" applyBorder="1"/>
    <xf numFmtId="43" fontId="152" fillId="0" borderId="198" xfId="1" applyNumberFormat="1" applyFont="1" applyBorder="1"/>
    <xf numFmtId="0" fontId="138" fillId="0" borderId="28" xfId="0" applyFont="1" applyBorder="1"/>
    <xf numFmtId="0" fontId="138" fillId="0" borderId="335" xfId="0" applyFont="1" applyBorder="1"/>
    <xf numFmtId="43" fontId="152" fillId="0" borderId="236" xfId="1" applyNumberFormat="1" applyFont="1" applyBorder="1"/>
    <xf numFmtId="0" fontId="146" fillId="0" borderId="171" xfId="0" applyFont="1" applyBorder="1"/>
    <xf numFmtId="43" fontId="152" fillId="0" borderId="199" xfId="1" applyNumberFormat="1" applyFont="1" applyBorder="1"/>
    <xf numFmtId="164" fontId="138" fillId="0" borderId="30" xfId="1" applyFont="1" applyBorder="1"/>
    <xf numFmtId="1" fontId="138" fillId="0" borderId="0" xfId="1" applyNumberFormat="1" applyFont="1" applyBorder="1"/>
    <xf numFmtId="0" fontId="138" fillId="0" borderId="171" xfId="0" applyFont="1" applyBorder="1"/>
    <xf numFmtId="49" fontId="164" fillId="0" borderId="11" xfId="1" applyNumberFormat="1" applyFont="1" applyBorder="1" applyAlignment="1">
      <alignment horizontal="center"/>
    </xf>
    <xf numFmtId="49" fontId="151" fillId="0" borderId="11" xfId="0" applyNumberFormat="1" applyFont="1" applyBorder="1" applyAlignment="1">
      <alignment horizontal="center"/>
    </xf>
    <xf numFmtId="49" fontId="151" fillId="0" borderId="0" xfId="1" applyNumberFormat="1" applyFont="1" applyBorder="1"/>
    <xf numFmtId="49" fontId="151" fillId="0" borderId="5" xfId="0" applyNumberFormat="1" applyFont="1" applyBorder="1" applyAlignment="1"/>
    <xf numFmtId="49" fontId="158" fillId="0" borderId="11" xfId="1" applyNumberFormat="1" applyFont="1" applyBorder="1" applyAlignment="1">
      <alignment horizontal="center"/>
    </xf>
    <xf numFmtId="49" fontId="146" fillId="0" borderId="11" xfId="0" applyNumberFormat="1" applyFont="1" applyBorder="1" applyAlignment="1">
      <alignment horizontal="center"/>
    </xf>
    <xf numFmtId="43" fontId="158" fillId="0" borderId="0" xfId="1" applyNumberFormat="1" applyFont="1" applyBorder="1" applyAlignment="1">
      <alignment horizontal="center"/>
    </xf>
    <xf numFmtId="0" fontId="146" fillId="0" borderId="0" xfId="0" applyFont="1" applyBorder="1" applyAlignment="1">
      <alignment horizontal="center"/>
    </xf>
    <xf numFmtId="43" fontId="146" fillId="0" borderId="0" xfId="0" applyNumberFormat="1" applyFont="1" applyBorder="1"/>
    <xf numFmtId="0" fontId="146" fillId="0" borderId="334" xfId="0" applyFont="1" applyBorder="1"/>
    <xf numFmtId="43" fontId="152" fillId="0" borderId="341" xfId="1" applyNumberFormat="1" applyFont="1" applyBorder="1"/>
    <xf numFmtId="43" fontId="146" fillId="0" borderId="8" xfId="0" applyNumberFormat="1" applyFont="1" applyBorder="1"/>
    <xf numFmtId="0" fontId="138" fillId="0" borderId="336" xfId="0" applyFont="1" applyBorder="1"/>
    <xf numFmtId="164" fontId="138" fillId="0" borderId="159" xfId="1" applyFont="1" applyBorder="1"/>
    <xf numFmtId="43" fontId="152" fillId="0" borderId="340" xfId="1" applyNumberFormat="1" applyFont="1" applyBorder="1"/>
    <xf numFmtId="0" fontId="146" fillId="0" borderId="337" xfId="0" applyFont="1" applyBorder="1"/>
    <xf numFmtId="43" fontId="152" fillId="0" borderId="200" xfId="1" applyNumberFormat="1" applyFont="1" applyBorder="1"/>
    <xf numFmtId="43" fontId="152" fillId="0" borderId="128" xfId="1" applyNumberFormat="1" applyFont="1" applyBorder="1"/>
    <xf numFmtId="43" fontId="172" fillId="0" borderId="37" xfId="0" applyNumberFormat="1" applyFont="1" applyBorder="1"/>
    <xf numFmtId="43" fontId="152" fillId="0" borderId="115" xfId="1" applyNumberFormat="1" applyFont="1" applyBorder="1"/>
    <xf numFmtId="0" fontId="138" fillId="0" borderId="44" xfId="0" applyFont="1" applyBorder="1"/>
    <xf numFmtId="0" fontId="147" fillId="0" borderId="0" xfId="0" applyFont="1" applyBorder="1" applyAlignment="1">
      <alignment horizontal="center"/>
    </xf>
    <xf numFmtId="43" fontId="150" fillId="34" borderId="0" xfId="0" applyNumberFormat="1" applyFont="1" applyFill="1"/>
    <xf numFmtId="0" fontId="138" fillId="0" borderId="338" xfId="0" applyFont="1" applyBorder="1"/>
    <xf numFmtId="0" fontId="166" fillId="0" borderId="38" xfId="1" applyNumberFormat="1" applyFont="1" applyBorder="1" applyAlignment="1">
      <alignment horizontal="center"/>
    </xf>
    <xf numFmtId="0" fontId="138" fillId="0" borderId="29" xfId="0" applyFont="1" applyBorder="1"/>
    <xf numFmtId="0" fontId="138" fillId="0" borderId="160" xfId="0" applyFont="1" applyBorder="1"/>
    <xf numFmtId="43" fontId="157" fillId="0" borderId="0" xfId="1" applyNumberFormat="1" applyFont="1" applyBorder="1" applyAlignment="1"/>
    <xf numFmtId="164" fontId="138" fillId="0" borderId="44" xfId="1" applyFont="1" applyBorder="1"/>
    <xf numFmtId="0" fontId="138" fillId="0" borderId="307" xfId="0" applyFont="1" applyBorder="1"/>
    <xf numFmtId="0" fontId="139" fillId="0" borderId="55" xfId="0" applyFont="1" applyBorder="1" applyAlignment="1">
      <alignment horizontal="center"/>
    </xf>
    <xf numFmtId="0" fontId="139" fillId="0" borderId="38" xfId="0" applyFont="1" applyBorder="1" applyAlignment="1">
      <alignment horizontal="center"/>
    </xf>
    <xf numFmtId="0" fontId="138" fillId="0" borderId="190" xfId="0" applyFont="1" applyBorder="1"/>
    <xf numFmtId="43" fontId="172" fillId="0" borderId="233" xfId="0" applyNumberFormat="1" applyFont="1" applyBorder="1"/>
    <xf numFmtId="0" fontId="138" fillId="0" borderId="308" xfId="0" applyFont="1" applyBorder="1"/>
    <xf numFmtId="0" fontId="141" fillId="0" borderId="38" xfId="1" applyNumberFormat="1" applyFont="1" applyBorder="1" applyAlignment="1">
      <alignment horizontal="center"/>
    </xf>
    <xf numFmtId="43" fontId="172" fillId="0" borderId="337" xfId="0" applyNumberFormat="1" applyFont="1" applyBorder="1"/>
    <xf numFmtId="0" fontId="138" fillId="0" borderId="337" xfId="0" applyFont="1" applyBorder="1"/>
    <xf numFmtId="43" fontId="152" fillId="0" borderId="37" xfId="1" applyNumberFormat="1" applyFont="1" applyBorder="1"/>
    <xf numFmtId="0" fontId="151" fillId="0" borderId="47" xfId="0" applyFont="1" applyBorder="1"/>
    <xf numFmtId="0" fontId="151" fillId="6" borderId="38" xfId="0" applyFont="1" applyFill="1" applyBorder="1" applyAlignment="1">
      <alignment horizontal="center"/>
    </xf>
    <xf numFmtId="0" fontId="138" fillId="0" borderId="233" xfId="0" applyFont="1" applyBorder="1"/>
    <xf numFmtId="164" fontId="146" fillId="0" borderId="0" xfId="1" applyFont="1" applyBorder="1"/>
    <xf numFmtId="0" fontId="172" fillId="0" borderId="0" xfId="0" applyFont="1" applyBorder="1" applyAlignment="1">
      <alignment horizontal="center"/>
    </xf>
    <xf numFmtId="43" fontId="157" fillId="0" borderId="171" xfId="1" applyNumberFormat="1" applyFont="1" applyBorder="1" applyAlignment="1"/>
    <xf numFmtId="43" fontId="151" fillId="0" borderId="171" xfId="0" applyNumberFormat="1" applyFont="1" applyBorder="1"/>
    <xf numFmtId="43" fontId="157" fillId="0" borderId="307" xfId="1" applyNumberFormat="1" applyFont="1" applyBorder="1" applyAlignment="1"/>
    <xf numFmtId="49" fontId="164" fillId="0" borderId="0" xfId="1" applyNumberFormat="1" applyFont="1" applyBorder="1" applyAlignment="1">
      <alignment horizontal="center"/>
    </xf>
    <xf numFmtId="0" fontId="151" fillId="0" borderId="307" xfId="0" applyFont="1" applyBorder="1"/>
    <xf numFmtId="43" fontId="151" fillId="0" borderId="337" xfId="0" applyNumberFormat="1" applyFont="1" applyBorder="1"/>
    <xf numFmtId="0" fontId="146" fillId="0" borderId="307" xfId="0" applyFont="1" applyBorder="1"/>
    <xf numFmtId="43" fontId="172" fillId="0" borderId="52" xfId="0" applyNumberFormat="1" applyFont="1" applyBorder="1"/>
    <xf numFmtId="43" fontId="172" fillId="0" borderId="45" xfId="0" applyNumberFormat="1" applyFont="1" applyBorder="1"/>
    <xf numFmtId="43" fontId="172" fillId="0" borderId="38" xfId="0" applyNumberFormat="1" applyFont="1" applyBorder="1"/>
    <xf numFmtId="0" fontId="147" fillId="0" borderId="38" xfId="0" applyFont="1" applyBorder="1" applyAlignment="1">
      <alignment horizontal="center"/>
    </xf>
    <xf numFmtId="43" fontId="171" fillId="0" borderId="240" xfId="0" applyNumberFormat="1" applyFont="1" applyBorder="1" applyAlignment="1">
      <alignment horizontal="center"/>
    </xf>
    <xf numFmtId="43" fontId="171" fillId="0" borderId="239" xfId="0" applyNumberFormat="1" applyFont="1" applyBorder="1" applyAlignment="1">
      <alignment horizontal="center"/>
    </xf>
    <xf numFmtId="43" fontId="171" fillId="0" borderId="236" xfId="0" applyNumberFormat="1" applyFont="1" applyBorder="1" applyAlignment="1">
      <alignment horizontal="center"/>
    </xf>
    <xf numFmtId="43" fontId="171" fillId="0" borderId="241" xfId="0" applyNumberFormat="1" applyFont="1" applyBorder="1" applyAlignment="1">
      <alignment horizontal="center"/>
    </xf>
    <xf numFmtId="49" fontId="151" fillId="0" borderId="0" xfId="0" applyNumberFormat="1" applyFont="1" applyBorder="1" applyAlignment="1">
      <alignment horizontal="center"/>
    </xf>
    <xf numFmtId="43" fontId="163" fillId="0" borderId="337" xfId="0" applyNumberFormat="1" applyFont="1" applyBorder="1" applyAlignment="1">
      <alignment horizontal="center" vertical="center"/>
    </xf>
    <xf numFmtId="43" fontId="163" fillId="0" borderId="0" xfId="0" applyNumberFormat="1" applyFont="1" applyAlignment="1">
      <alignment horizontal="center" vertical="center"/>
    </xf>
    <xf numFmtId="43" fontId="171" fillId="0" borderId="0" xfId="0" applyNumberFormat="1" applyFont="1" applyBorder="1" applyAlignment="1">
      <alignment horizontal="center"/>
    </xf>
    <xf numFmtId="0" fontId="151" fillId="0" borderId="72" xfId="0" applyFont="1" applyBorder="1"/>
    <xf numFmtId="0" fontId="189" fillId="0" borderId="72" xfId="1" applyNumberFormat="1" applyFont="1" applyBorder="1" applyAlignment="1">
      <alignment horizontal="center"/>
    </xf>
    <xf numFmtId="0" fontId="166" fillId="6" borderId="72" xfId="1" applyNumberFormat="1" applyFont="1" applyFill="1" applyBorder="1" applyAlignment="1">
      <alignment horizontal="center"/>
    </xf>
    <xf numFmtId="164" fontId="151" fillId="0" borderId="72" xfId="1" applyFont="1" applyBorder="1"/>
    <xf numFmtId="43" fontId="183" fillId="0" borderId="233" xfId="1" applyNumberFormat="1" applyFont="1" applyFill="1" applyBorder="1" applyAlignment="1">
      <alignment vertical="center"/>
    </xf>
    <xf numFmtId="43" fontId="183" fillId="0" borderId="171" xfId="1" applyNumberFormat="1" applyFont="1" applyFill="1" applyBorder="1" applyAlignment="1">
      <alignment vertical="center"/>
    </xf>
    <xf numFmtId="43" fontId="183" fillId="0" borderId="337" xfId="1" applyNumberFormat="1" applyFont="1" applyFill="1" applyBorder="1" applyAlignment="1">
      <alignment vertical="center"/>
    </xf>
    <xf numFmtId="0" fontId="166" fillId="0" borderId="0" xfId="1" applyNumberFormat="1" applyFont="1" applyBorder="1" applyAlignment="1"/>
    <xf numFmtId="43" fontId="183" fillId="0" borderId="0" xfId="1" applyNumberFormat="1" applyFont="1" applyBorder="1" applyAlignment="1">
      <alignment vertical="center"/>
    </xf>
    <xf numFmtId="43" fontId="164" fillId="0" borderId="0" xfId="1" applyNumberFormat="1" applyFont="1" applyBorder="1"/>
    <xf numFmtId="0" fontId="136" fillId="0" borderId="43" xfId="0" applyFont="1" applyBorder="1"/>
    <xf numFmtId="0" fontId="136" fillId="0" borderId="357" xfId="1" applyNumberFormat="1" applyFont="1" applyBorder="1" applyAlignment="1">
      <alignment horizontal="center"/>
    </xf>
    <xf numFmtId="43" fontId="143" fillId="0" borderId="357" xfId="1" applyNumberFormat="1" applyFont="1" applyBorder="1"/>
    <xf numFmtId="1" fontId="172" fillId="0" borderId="0" xfId="0" applyNumberFormat="1" applyFont="1" applyBorder="1" applyAlignment="1">
      <alignment horizontal="center"/>
    </xf>
    <xf numFmtId="0" fontId="135" fillId="0" borderId="0" xfId="0" applyFont="1" applyBorder="1" applyAlignment="1">
      <alignment horizontal="center"/>
    </xf>
    <xf numFmtId="0" fontId="166" fillId="0" borderId="55" xfId="1" applyNumberFormat="1" applyFont="1" applyBorder="1" applyAlignment="1">
      <alignment horizontal="center"/>
    </xf>
    <xf numFmtId="43" fontId="155" fillId="0" borderId="0" xfId="0" applyNumberFormat="1" applyFont="1" applyAlignment="1">
      <alignment horizontal="center"/>
    </xf>
    <xf numFmtId="0" fontId="141" fillId="0" borderId="11" xfId="0" applyFont="1" applyBorder="1" applyAlignment="1">
      <alignment horizontal="center"/>
    </xf>
    <xf numFmtId="0" fontId="141" fillId="0" borderId="5" xfId="0" applyFont="1" applyBorder="1" applyAlignment="1">
      <alignment horizontal="center"/>
    </xf>
    <xf numFmtId="0" fontId="165" fillId="0" borderId="38" xfId="0" applyFont="1" applyBorder="1" applyAlignment="1">
      <alignment horizontal="center"/>
    </xf>
    <xf numFmtId="0" fontId="136" fillId="0" borderId="68" xfId="0" applyFont="1" applyBorder="1"/>
    <xf numFmtId="164" fontId="140" fillId="0" borderId="60" xfId="1" applyFont="1" applyBorder="1"/>
    <xf numFmtId="0" fontId="136" fillId="0" borderId="53" xfId="0" applyFont="1" applyBorder="1"/>
    <xf numFmtId="164" fontId="140" fillId="0" borderId="37" xfId="1" applyFont="1" applyBorder="1"/>
    <xf numFmtId="49" fontId="136" fillId="0" borderId="45" xfId="1" applyNumberFormat="1" applyFont="1" applyBorder="1"/>
    <xf numFmtId="49" fontId="136" fillId="0" borderId="37" xfId="1" applyNumberFormat="1" applyFont="1" applyBorder="1"/>
    <xf numFmtId="0" fontId="136" fillId="0" borderId="359" xfId="0" applyFont="1" applyBorder="1"/>
    <xf numFmtId="164" fontId="136" fillId="0" borderId="360" xfId="1" applyFont="1" applyBorder="1"/>
    <xf numFmtId="43" fontId="136" fillId="0" borderId="361" xfId="1" applyNumberFormat="1" applyFont="1" applyBorder="1"/>
    <xf numFmtId="0" fontId="136" fillId="0" borderId="362" xfId="0" applyFont="1" applyBorder="1"/>
    <xf numFmtId="164" fontId="136" fillId="0" borderId="363" xfId="1" applyFont="1" applyBorder="1"/>
    <xf numFmtId="43" fontId="136" fillId="15" borderId="363" xfId="1" applyNumberFormat="1" applyFont="1" applyFill="1" applyBorder="1"/>
    <xf numFmtId="0" fontId="136" fillId="0" borderId="364" xfId="0" applyFont="1" applyBorder="1"/>
    <xf numFmtId="0" fontId="136" fillId="0" borderId="191" xfId="0" applyFont="1" applyBorder="1"/>
    <xf numFmtId="0" fontId="136" fillId="0" borderId="55" xfId="0" applyFont="1" applyBorder="1" applyAlignment="1">
      <alignment horizontal="center"/>
    </xf>
    <xf numFmtId="0" fontId="136" fillId="0" borderId="55" xfId="1" applyNumberFormat="1" applyFont="1" applyBorder="1"/>
    <xf numFmtId="164" fontId="136" fillId="0" borderId="176" xfId="1" applyFont="1" applyBorder="1"/>
    <xf numFmtId="0" fontId="136" fillId="0" borderId="54" xfId="0" applyFont="1" applyBorder="1"/>
    <xf numFmtId="0" fontId="136" fillId="0" borderId="51" xfId="0" applyFont="1" applyBorder="1" applyAlignment="1">
      <alignment horizontal="center"/>
    </xf>
    <xf numFmtId="0" fontId="136" fillId="0" borderId="45" xfId="0" applyFont="1" applyBorder="1"/>
    <xf numFmtId="0" fontId="50" fillId="0" borderId="0" xfId="0" applyFont="1" applyBorder="1" applyAlignment="1">
      <alignment horizontal="left"/>
    </xf>
    <xf numFmtId="43" fontId="27" fillId="0" borderId="0" xfId="0" applyNumberFormat="1" applyFont="1" applyFill="1"/>
    <xf numFmtId="43" fontId="76" fillId="0" borderId="0" xfId="0" applyNumberFormat="1" applyFont="1" applyFill="1"/>
    <xf numFmtId="0" fontId="133" fillId="0" borderId="40" xfId="0" applyFont="1" applyBorder="1" applyAlignment="1">
      <alignment horizontal="center"/>
    </xf>
    <xf numFmtId="0" fontId="133" fillId="0" borderId="269" xfId="0" applyFont="1" applyBorder="1" applyAlignment="1">
      <alignment horizontal="left"/>
    </xf>
    <xf numFmtId="0" fontId="2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43" fontId="76" fillId="0" borderId="0" xfId="0" applyNumberFormat="1" applyFont="1" applyFill="1" applyBorder="1"/>
    <xf numFmtId="43" fontId="76" fillId="0" borderId="365" xfId="0" applyNumberFormat="1" applyFont="1" applyFill="1" applyBorder="1"/>
    <xf numFmtId="0" fontId="133" fillId="0" borderId="11" xfId="0" applyFont="1" applyFill="1" applyBorder="1" applyAlignment="1">
      <alignment horizontal="left"/>
    </xf>
    <xf numFmtId="0" fontId="0" fillId="0" borderId="37" xfId="0" applyFill="1" applyBorder="1"/>
    <xf numFmtId="43" fontId="74" fillId="19" borderId="0" xfId="0" applyNumberFormat="1" applyFont="1" applyFill="1"/>
    <xf numFmtId="43" fontId="29" fillId="19" borderId="0" xfId="0" applyNumberFormat="1" applyFont="1" applyFill="1"/>
    <xf numFmtId="0" fontId="32" fillId="0" borderId="53" xfId="1" applyNumberFormat="1" applyFont="1" applyBorder="1" applyAlignment="1">
      <alignment horizontal="left"/>
    </xf>
    <xf numFmtId="0" fontId="196" fillId="0" borderId="0" xfId="0" applyFont="1" applyBorder="1" applyAlignment="1">
      <alignment vertical="center"/>
    </xf>
    <xf numFmtId="0" fontId="197" fillId="0" borderId="0" xfId="0" applyFont="1" applyBorder="1"/>
    <xf numFmtId="0" fontId="198" fillId="0" borderId="0" xfId="0" applyFont="1" applyBorder="1" applyAlignment="1">
      <alignment horizontal="center"/>
    </xf>
    <xf numFmtId="0" fontId="197" fillId="0" borderId="0" xfId="0" applyFont="1"/>
    <xf numFmtId="0" fontId="199" fillId="0" borderId="0" xfId="0" applyFont="1"/>
    <xf numFmtId="0" fontId="198" fillId="0" borderId="0" xfId="0" applyFont="1" applyBorder="1" applyAlignment="1"/>
    <xf numFmtId="0" fontId="197" fillId="0" borderId="0" xfId="0" applyFont="1" applyBorder="1" applyAlignment="1"/>
    <xf numFmtId="0" fontId="197" fillId="0" borderId="79" xfId="0" applyFont="1" applyBorder="1" applyAlignment="1"/>
    <xf numFmtId="0" fontId="197" fillId="0" borderId="80" xfId="0" applyFont="1" applyBorder="1" applyAlignment="1">
      <alignment horizontal="center"/>
    </xf>
    <xf numFmtId="0" fontId="197" fillId="0" borderId="0" xfId="0" applyFont="1" applyBorder="1" applyAlignment="1">
      <alignment horizontal="center"/>
    </xf>
    <xf numFmtId="0" fontId="197" fillId="0" borderId="0" xfId="0" applyFont="1" applyBorder="1" applyAlignment="1">
      <alignment horizontal="center" vertical="center"/>
    </xf>
    <xf numFmtId="0" fontId="198" fillId="0" borderId="0" xfId="0" applyFont="1" applyBorder="1" applyAlignment="1">
      <alignment horizontal="center" vertical="center"/>
    </xf>
    <xf numFmtId="0" fontId="197" fillId="0" borderId="79" xfId="0" applyFont="1" applyBorder="1" applyAlignment="1">
      <alignment horizontal="center" vertical="center"/>
    </xf>
    <xf numFmtId="0" fontId="197" fillId="0" borderId="80" xfId="0" applyFont="1" applyBorder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199" fillId="0" borderId="0" xfId="0" applyFont="1" applyAlignment="1">
      <alignment horizontal="center" vertical="center"/>
    </xf>
    <xf numFmtId="0" fontId="203" fillId="0" borderId="0" xfId="0" applyFont="1" applyBorder="1" applyAlignment="1">
      <alignment horizontal="center" vertical="center"/>
    </xf>
    <xf numFmtId="49" fontId="205" fillId="21" borderId="0" xfId="0" applyNumberFormat="1" applyFont="1" applyFill="1" applyBorder="1" applyAlignment="1">
      <alignment horizontal="center" vertical="center"/>
    </xf>
    <xf numFmtId="0" fontId="206" fillId="0" borderId="40" xfId="0" applyFont="1" applyFill="1" applyBorder="1" applyAlignment="1">
      <alignment horizontal="center" vertical="center"/>
    </xf>
    <xf numFmtId="0" fontId="206" fillId="0" borderId="40" xfId="0" applyFont="1" applyFill="1" applyBorder="1" applyAlignment="1">
      <alignment vertical="center"/>
    </xf>
    <xf numFmtId="0" fontId="206" fillId="0" borderId="104" xfId="0" applyFont="1" applyFill="1" applyBorder="1" applyAlignment="1">
      <alignment vertical="center"/>
    </xf>
    <xf numFmtId="0" fontId="198" fillId="0" borderId="88" xfId="0" applyFont="1" applyBorder="1" applyAlignment="1">
      <alignment horizontal="center" vertical="center"/>
    </xf>
    <xf numFmtId="0" fontId="197" fillId="0" borderId="89" xfId="0" applyFont="1" applyBorder="1" applyAlignment="1">
      <alignment horizontal="center" vertical="center"/>
    </xf>
    <xf numFmtId="0" fontId="197" fillId="0" borderId="38" xfId="0" applyFont="1" applyBorder="1" applyAlignment="1">
      <alignment horizontal="center" vertical="center"/>
    </xf>
    <xf numFmtId="0" fontId="203" fillId="0" borderId="45" xfId="1" applyNumberFormat="1" applyFont="1" applyBorder="1" applyAlignment="1">
      <alignment horizontal="center" vertical="center"/>
    </xf>
    <xf numFmtId="0" fontId="203" fillId="0" borderId="46" xfId="1" applyNumberFormat="1" applyFont="1" applyBorder="1" applyAlignment="1">
      <alignment horizontal="center" vertical="center"/>
    </xf>
    <xf numFmtId="0" fontId="197" fillId="0" borderId="90" xfId="0" applyFont="1" applyBorder="1" applyAlignment="1">
      <alignment horizontal="center" vertical="center"/>
    </xf>
    <xf numFmtId="0" fontId="197" fillId="0" borderId="88" xfId="0" applyFont="1" applyBorder="1" applyAlignment="1">
      <alignment horizontal="center" vertical="center"/>
    </xf>
    <xf numFmtId="0" fontId="198" fillId="0" borderId="89" xfId="0" applyFont="1" applyBorder="1" applyAlignment="1">
      <alignment horizontal="center" vertical="center"/>
    </xf>
    <xf numFmtId="43" fontId="203" fillId="0" borderId="90" xfId="1" applyNumberFormat="1" applyFont="1" applyBorder="1" applyAlignment="1">
      <alignment horizontal="center" vertical="center"/>
    </xf>
    <xf numFmtId="0" fontId="198" fillId="0" borderId="73" xfId="0" applyFont="1" applyBorder="1" applyAlignment="1">
      <alignment horizontal="center" vertical="center"/>
    </xf>
    <xf numFmtId="0" fontId="203" fillId="0" borderId="91" xfId="0" applyFont="1" applyFill="1" applyBorder="1" applyAlignment="1">
      <alignment horizontal="center" vertical="center"/>
    </xf>
    <xf numFmtId="0" fontId="203" fillId="0" borderId="91" xfId="1" applyNumberFormat="1" applyFont="1" applyBorder="1" applyAlignment="1">
      <alignment horizontal="center" vertical="center"/>
    </xf>
    <xf numFmtId="0" fontId="197" fillId="0" borderId="92" xfId="0" applyFont="1" applyFill="1" applyBorder="1" applyAlignment="1">
      <alignment horizontal="center" vertical="center"/>
    </xf>
    <xf numFmtId="0" fontId="197" fillId="0" borderId="91" xfId="0" applyFont="1" applyFill="1" applyBorder="1" applyAlignment="1">
      <alignment horizontal="center" vertical="center"/>
    </xf>
    <xf numFmtId="0" fontId="197" fillId="0" borderId="93" xfId="0" applyFont="1" applyFill="1" applyBorder="1" applyAlignment="1">
      <alignment horizontal="center" vertical="center"/>
    </xf>
    <xf numFmtId="0" fontId="197" fillId="0" borderId="79" xfId="0" applyFont="1" applyFill="1" applyBorder="1" applyAlignment="1">
      <alignment horizontal="center" vertical="center"/>
    </xf>
    <xf numFmtId="0" fontId="197" fillId="0" borderId="73" xfId="0" applyFont="1" applyBorder="1" applyAlignment="1">
      <alignment horizontal="center" vertical="center"/>
    </xf>
    <xf numFmtId="0" fontId="197" fillId="20" borderId="91" xfId="0" applyFont="1" applyFill="1" applyBorder="1" applyAlignment="1">
      <alignment horizontal="center" vertical="center"/>
    </xf>
    <xf numFmtId="0" fontId="197" fillId="20" borderId="94" xfId="0" applyFont="1" applyFill="1" applyBorder="1" applyAlignment="1">
      <alignment horizontal="center" vertical="center"/>
    </xf>
    <xf numFmtId="0" fontId="203" fillId="20" borderId="91" xfId="0" applyFont="1" applyFill="1" applyBorder="1" applyAlignment="1">
      <alignment horizontal="center" vertical="center"/>
    </xf>
    <xf numFmtId="0" fontId="197" fillId="0" borderId="93" xfId="0" applyFont="1" applyBorder="1" applyAlignment="1">
      <alignment horizontal="center" vertical="center"/>
    </xf>
    <xf numFmtId="0" fontId="198" fillId="0" borderId="0" xfId="0" applyFont="1" applyFill="1" applyBorder="1" applyAlignment="1">
      <alignment horizontal="center" vertical="center"/>
    </xf>
    <xf numFmtId="0" fontId="197" fillId="0" borderId="0" xfId="0" applyFont="1" applyFill="1" applyBorder="1" applyAlignment="1">
      <alignment horizontal="center" vertical="center"/>
    </xf>
    <xf numFmtId="43" fontId="205" fillId="4" borderId="95" xfId="1" applyNumberFormat="1" applyFont="1" applyFill="1" applyBorder="1" applyAlignment="1">
      <alignment horizontal="center" vertical="center"/>
    </xf>
    <xf numFmtId="43" fontId="205" fillId="3" borderId="96" xfId="1" applyNumberFormat="1" applyFont="1" applyFill="1" applyBorder="1" applyAlignment="1">
      <alignment horizontal="center" vertical="center"/>
    </xf>
    <xf numFmtId="43" fontId="203" fillId="7" borderId="95" xfId="1" applyNumberFormat="1" applyFont="1" applyFill="1" applyBorder="1" applyAlignment="1">
      <alignment horizontal="center" vertical="center"/>
    </xf>
    <xf numFmtId="43" fontId="203" fillId="9" borderId="96" xfId="1" applyNumberFormat="1" applyFont="1" applyFill="1" applyBorder="1" applyAlignment="1">
      <alignment horizontal="center" vertical="center"/>
    </xf>
    <xf numFmtId="49" fontId="197" fillId="0" borderId="0" xfId="0" applyNumberFormat="1" applyFont="1" applyBorder="1" applyAlignment="1">
      <alignment horizontal="center" vertical="center"/>
    </xf>
    <xf numFmtId="43" fontId="203" fillId="0" borderId="93" xfId="1" applyNumberFormat="1" applyFont="1" applyBorder="1" applyAlignment="1">
      <alignment horizontal="center" vertical="center"/>
    </xf>
    <xf numFmtId="0" fontId="207" fillId="0" borderId="0" xfId="0" applyFont="1" applyBorder="1" applyAlignment="1">
      <alignment horizontal="center" vertical="center"/>
    </xf>
    <xf numFmtId="0" fontId="197" fillId="0" borderId="51" xfId="0" applyFont="1" applyBorder="1" applyAlignment="1">
      <alignment horizontal="center" vertical="center"/>
    </xf>
    <xf numFmtId="43" fontId="197" fillId="0" borderId="52" xfId="0" applyNumberFormat="1" applyFont="1" applyBorder="1" applyAlignment="1">
      <alignment horizontal="center" vertical="center"/>
    </xf>
    <xf numFmtId="43" fontId="197" fillId="0" borderId="51" xfId="0" applyNumberFormat="1" applyFont="1" applyBorder="1" applyAlignment="1">
      <alignment horizontal="center" vertical="center"/>
    </xf>
    <xf numFmtId="43" fontId="197" fillId="0" borderId="54" xfId="0" applyNumberFormat="1" applyFont="1" applyBorder="1" applyAlignment="1">
      <alignment horizontal="center" vertical="center"/>
    </xf>
    <xf numFmtId="0" fontId="208" fillId="0" borderId="51" xfId="0" applyFont="1" applyBorder="1" applyAlignment="1">
      <alignment horizontal="center" vertical="center"/>
    </xf>
    <xf numFmtId="0" fontId="208" fillId="0" borderId="0" xfId="0" applyFont="1" applyBorder="1" applyAlignment="1">
      <alignment horizontal="center" vertical="center"/>
    </xf>
    <xf numFmtId="43" fontId="197" fillId="0" borderId="0" xfId="0" applyNumberFormat="1" applyFont="1" applyBorder="1" applyAlignment="1">
      <alignment horizontal="center" vertical="center"/>
    </xf>
    <xf numFmtId="0" fontId="198" fillId="0" borderId="102" xfId="0" applyFont="1" applyBorder="1" applyAlignment="1">
      <alignment horizontal="center" vertical="center"/>
    </xf>
    <xf numFmtId="0" fontId="197" fillId="0" borderId="40" xfId="0" applyFont="1" applyBorder="1" applyAlignment="1">
      <alignment horizontal="center" vertical="center"/>
    </xf>
    <xf numFmtId="0" fontId="203" fillId="0" borderId="40" xfId="0" applyFont="1" applyFill="1" applyBorder="1" applyAlignment="1">
      <alignment horizontal="center" vertical="center"/>
    </xf>
    <xf numFmtId="43" fontId="205" fillId="0" borderId="103" xfId="0" applyNumberFormat="1" applyFont="1" applyBorder="1" applyAlignment="1">
      <alignment horizontal="center" vertical="center"/>
    </xf>
    <xf numFmtId="0" fontId="197" fillId="0" borderId="97" xfId="0" applyFont="1" applyBorder="1" applyAlignment="1">
      <alignment horizontal="center" vertical="center"/>
    </xf>
    <xf numFmtId="0" fontId="197" fillId="0" borderId="98" xfId="0" applyFont="1" applyBorder="1" applyAlignment="1">
      <alignment horizontal="center" vertical="center"/>
    </xf>
    <xf numFmtId="43" fontId="205" fillId="0" borderId="101" xfId="0" applyNumberFormat="1" applyFont="1" applyBorder="1" applyAlignment="1">
      <alignment horizontal="center" vertical="center"/>
    </xf>
    <xf numFmtId="44" fontId="206" fillId="0" borderId="98" xfId="2" applyFont="1" applyBorder="1" applyAlignment="1">
      <alignment vertical="center"/>
    </xf>
    <xf numFmtId="44" fontId="206" fillId="0" borderId="99" xfId="2" applyFont="1" applyBorder="1" applyAlignment="1">
      <alignment vertical="center"/>
    </xf>
    <xf numFmtId="44" fontId="206" fillId="0" borderId="100" xfId="2" applyFont="1" applyBorder="1" applyAlignment="1">
      <alignment vertical="center"/>
    </xf>
    <xf numFmtId="0" fontId="203" fillId="0" borderId="91" xfId="0" applyFont="1" applyBorder="1" applyAlignment="1">
      <alignment horizontal="center" vertical="center"/>
    </xf>
    <xf numFmtId="0" fontId="197" fillId="0" borderId="92" xfId="0" applyFont="1" applyBorder="1" applyAlignment="1">
      <alignment horizontal="center" vertical="center"/>
    </xf>
    <xf numFmtId="0" fontId="203" fillId="0" borderId="93" xfId="0" applyFont="1" applyBorder="1" applyAlignment="1">
      <alignment horizontal="center" vertical="center"/>
    </xf>
    <xf numFmtId="0" fontId="203" fillId="0" borderId="79" xfId="0" applyFont="1" applyBorder="1" applyAlignment="1">
      <alignment horizontal="center" vertical="center"/>
    </xf>
    <xf numFmtId="0" fontId="197" fillId="0" borderId="91" xfId="0" applyFont="1" applyBorder="1" applyAlignment="1">
      <alignment horizontal="center" vertical="center"/>
    </xf>
    <xf numFmtId="0" fontId="197" fillId="0" borderId="94" xfId="0" applyFont="1" applyBorder="1" applyAlignment="1">
      <alignment horizontal="center" vertical="center"/>
    </xf>
    <xf numFmtId="0" fontId="197" fillId="0" borderId="52" xfId="0" applyFont="1" applyBorder="1" applyAlignment="1">
      <alignment horizontal="center" vertical="center"/>
    </xf>
    <xf numFmtId="0" fontId="198" fillId="0" borderId="97" xfId="0" applyFont="1" applyBorder="1" applyAlignment="1">
      <alignment horizontal="center" vertical="center"/>
    </xf>
    <xf numFmtId="43" fontId="205" fillId="0" borderId="99" xfId="0" applyNumberFormat="1" applyFont="1" applyBorder="1" applyAlignment="1">
      <alignment horizontal="center" vertical="center"/>
    </xf>
    <xf numFmtId="0" fontId="206" fillId="0" borderId="98" xfId="0" applyFont="1" applyBorder="1" applyAlignment="1">
      <alignment vertical="center"/>
    </xf>
    <xf numFmtId="0" fontId="206" fillId="0" borderId="100" xfId="0" applyFont="1" applyBorder="1" applyAlignment="1">
      <alignment vertical="center"/>
    </xf>
    <xf numFmtId="0" fontId="203" fillId="0" borderId="73" xfId="0" applyFont="1" applyBorder="1" applyAlignment="1">
      <alignment horizontal="center" vertical="center"/>
    </xf>
    <xf numFmtId="0" fontId="198" fillId="0" borderId="98" xfId="0" applyFont="1" applyBorder="1" applyAlignment="1">
      <alignment horizontal="center" vertical="center"/>
    </xf>
    <xf numFmtId="0" fontId="197" fillId="0" borderId="89" xfId="0" applyFont="1" applyFill="1" applyBorder="1" applyAlignment="1">
      <alignment horizontal="center" vertical="center" wrapText="1"/>
    </xf>
    <xf numFmtId="0" fontId="197" fillId="0" borderId="89" xfId="0" applyFont="1" applyFill="1" applyBorder="1" applyAlignment="1">
      <alignment horizontal="center" vertical="center"/>
    </xf>
    <xf numFmtId="0" fontId="197" fillId="0" borderId="90" xfId="0" applyFont="1" applyFill="1" applyBorder="1" applyAlignment="1">
      <alignment horizontal="center" vertical="center"/>
    </xf>
    <xf numFmtId="43" fontId="203" fillId="0" borderId="0" xfId="1" applyNumberFormat="1" applyFont="1" applyBorder="1" applyAlignment="1">
      <alignment horizontal="center" vertical="center"/>
    </xf>
    <xf numFmtId="0" fontId="198" fillId="0" borderId="93" xfId="0" applyFont="1" applyBorder="1" applyAlignment="1">
      <alignment horizontal="center" vertical="center"/>
    </xf>
    <xf numFmtId="0" fontId="198" fillId="0" borderId="79" xfId="0" applyFont="1" applyBorder="1" applyAlignment="1">
      <alignment horizontal="center" vertical="center"/>
    </xf>
    <xf numFmtId="164" fontId="197" fillId="0" borderId="93" xfId="1" applyFont="1" applyBorder="1" applyAlignment="1">
      <alignment horizontal="center" vertical="center"/>
    </xf>
    <xf numFmtId="164" fontId="197" fillId="0" borderId="79" xfId="1" applyFont="1" applyBorder="1" applyAlignment="1">
      <alignment horizontal="center" vertical="center"/>
    </xf>
    <xf numFmtId="0" fontId="198" fillId="0" borderId="80" xfId="0" applyFont="1" applyBorder="1" applyAlignment="1">
      <alignment horizontal="center" vertical="center"/>
    </xf>
    <xf numFmtId="164" fontId="197" fillId="0" borderId="80" xfId="1" applyFont="1" applyBorder="1" applyAlignment="1">
      <alignment horizontal="center" vertical="center"/>
    </xf>
    <xf numFmtId="164" fontId="197" fillId="0" borderId="73" xfId="1" applyFont="1" applyBorder="1" applyAlignment="1">
      <alignment horizontal="center" vertical="center"/>
    </xf>
    <xf numFmtId="43" fontId="205" fillId="0" borderId="46" xfId="0" applyNumberFormat="1" applyFont="1" applyBorder="1" applyAlignment="1">
      <alignment horizontal="center" vertical="center"/>
    </xf>
    <xf numFmtId="43" fontId="205" fillId="0" borderId="45" xfId="0" applyNumberFormat="1" applyFont="1" applyBorder="1" applyAlignment="1">
      <alignment horizontal="center" vertical="center"/>
    </xf>
    <xf numFmtId="164" fontId="197" fillId="0" borderId="0" xfId="1" applyFont="1" applyBorder="1" applyAlignment="1">
      <alignment horizontal="center" vertical="center"/>
    </xf>
    <xf numFmtId="49" fontId="197" fillId="0" borderId="98" xfId="0" applyNumberFormat="1" applyFont="1" applyBorder="1" applyAlignment="1">
      <alignment horizontal="center" vertical="center"/>
    </xf>
    <xf numFmtId="164" fontId="197" fillId="0" borderId="98" xfId="1" applyFont="1" applyBorder="1" applyAlignment="1">
      <alignment horizontal="center" vertical="center"/>
    </xf>
    <xf numFmtId="49" fontId="197" fillId="0" borderId="98" xfId="1" applyNumberFormat="1" applyFont="1" applyBorder="1" applyAlignment="1">
      <alignment horizontal="center" vertical="center"/>
    </xf>
    <xf numFmtId="164" fontId="197" fillId="0" borderId="100" xfId="1" applyFont="1" applyBorder="1" applyAlignment="1">
      <alignment horizontal="center" vertical="center"/>
    </xf>
    <xf numFmtId="43" fontId="203" fillId="0" borderId="0" xfId="1" applyNumberFormat="1" applyFont="1" applyFill="1" applyBorder="1" applyAlignment="1">
      <alignment horizontal="center" vertical="center"/>
    </xf>
    <xf numFmtId="164" fontId="197" fillId="0" borderId="0" xfId="1" applyFont="1" applyFill="1" applyBorder="1" applyAlignment="1">
      <alignment horizontal="center" vertical="center"/>
    </xf>
    <xf numFmtId="0" fontId="197" fillId="0" borderId="214" xfId="0" applyFont="1" applyFill="1" applyBorder="1" applyAlignment="1">
      <alignment horizontal="center" vertical="center"/>
    </xf>
    <xf numFmtId="0" fontId="198" fillId="0" borderId="214" xfId="0" applyFont="1" applyFill="1" applyBorder="1" applyAlignment="1">
      <alignment horizontal="center" vertical="center"/>
    </xf>
    <xf numFmtId="0" fontId="203" fillId="0" borderId="214" xfId="0" applyFont="1" applyFill="1" applyBorder="1" applyAlignment="1">
      <alignment horizontal="center" vertical="center"/>
    </xf>
    <xf numFmtId="43" fontId="203" fillId="0" borderId="214" xfId="1" applyNumberFormat="1" applyFont="1" applyFill="1" applyBorder="1" applyAlignment="1">
      <alignment horizontal="center" vertical="center"/>
    </xf>
    <xf numFmtId="0" fontId="197" fillId="0" borderId="214" xfId="0" applyFont="1" applyBorder="1" applyAlignment="1">
      <alignment horizontal="center" vertical="center"/>
    </xf>
    <xf numFmtId="164" fontId="197" fillId="0" borderId="214" xfId="1" applyFont="1" applyFill="1" applyBorder="1" applyAlignment="1">
      <alignment horizontal="center" vertical="center"/>
    </xf>
    <xf numFmtId="0" fontId="204" fillId="0" borderId="0" xfId="0" applyFont="1" applyBorder="1" applyAlignment="1">
      <alignment horizontal="center" vertical="center"/>
    </xf>
    <xf numFmtId="0" fontId="209" fillId="0" borderId="53" xfId="0" applyFont="1" applyBorder="1" applyAlignment="1">
      <alignment horizontal="center" vertical="center"/>
    </xf>
    <xf numFmtId="0" fontId="209" fillId="0" borderId="0" xfId="0" applyFont="1" applyBorder="1" applyAlignment="1">
      <alignment horizontal="center" vertical="center"/>
    </xf>
    <xf numFmtId="0" fontId="209" fillId="0" borderId="38" xfId="0" applyFont="1" applyBorder="1" applyAlignment="1">
      <alignment horizontal="center" vertical="center"/>
    </xf>
    <xf numFmtId="0" fontId="204" fillId="0" borderId="46" xfId="0" applyFont="1" applyBorder="1" applyAlignment="1">
      <alignment horizontal="center" vertical="center"/>
    </xf>
    <xf numFmtId="0" fontId="204" fillId="0" borderId="38" xfId="0" applyFont="1" applyBorder="1" applyAlignment="1">
      <alignment horizontal="center" vertical="center"/>
    </xf>
    <xf numFmtId="0" fontId="206" fillId="0" borderId="0" xfId="0" applyFont="1" applyBorder="1" applyAlignment="1">
      <alignment horizontal="center" vertical="center"/>
    </xf>
    <xf numFmtId="43" fontId="205" fillId="0" borderId="0" xfId="0" applyNumberFormat="1" applyFont="1" applyFill="1" applyBorder="1" applyAlignment="1">
      <alignment horizontal="center" vertical="center"/>
    </xf>
    <xf numFmtId="0" fontId="203" fillId="0" borderId="0" xfId="0" applyFont="1" applyFill="1" applyBorder="1" applyAlignment="1">
      <alignment horizontal="center" vertical="center"/>
    </xf>
    <xf numFmtId="43" fontId="197" fillId="0" borderId="0" xfId="0" applyNumberFormat="1" applyFont="1" applyFill="1" applyBorder="1" applyAlignment="1">
      <alignment horizontal="center" vertical="center"/>
    </xf>
    <xf numFmtId="164" fontId="198" fillId="0" borderId="0" xfId="1" applyFont="1" applyBorder="1" applyAlignment="1">
      <alignment horizontal="center" vertical="center"/>
    </xf>
    <xf numFmtId="0" fontId="210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37" xfId="0" applyBorder="1" applyAlignment="1">
      <alignment horizontal="left"/>
    </xf>
    <xf numFmtId="0" fontId="21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193" xfId="0" applyBorder="1" applyAlignment="1">
      <alignment horizontal="left"/>
    </xf>
    <xf numFmtId="43" fontId="29" fillId="0" borderId="0" xfId="0" applyNumberFormat="1" applyFont="1"/>
    <xf numFmtId="0" fontId="74" fillId="0" borderId="193" xfId="0" applyFont="1" applyBorder="1"/>
    <xf numFmtId="43" fontId="104" fillId="0" borderId="193" xfId="0" applyNumberFormat="1" applyFont="1" applyBorder="1"/>
    <xf numFmtId="43" fontId="134" fillId="0" borderId="366" xfId="0" applyNumberFormat="1" applyFont="1" applyBorder="1"/>
    <xf numFmtId="43" fontId="29" fillId="0" borderId="77" xfId="0" applyNumberFormat="1" applyFont="1" applyBorder="1"/>
    <xf numFmtId="43" fontId="10" fillId="0" borderId="367" xfId="0" applyNumberFormat="1" applyFont="1" applyBorder="1"/>
    <xf numFmtId="43" fontId="134" fillId="0" borderId="368" xfId="0" applyNumberFormat="1" applyFont="1" applyBorder="1"/>
    <xf numFmtId="0" fontId="0" fillId="0" borderId="37" xfId="0" applyBorder="1" applyAlignment="1">
      <alignment horizontal="center"/>
    </xf>
    <xf numFmtId="0" fontId="30" fillId="0" borderId="0" xfId="0" applyFont="1" applyAlignment="1">
      <alignment horizontal="center"/>
    </xf>
    <xf numFmtId="43" fontId="50" fillId="0" borderId="37" xfId="0" applyNumberFormat="1" applyFont="1" applyBorder="1" applyAlignment="1">
      <alignment horizontal="center"/>
    </xf>
    <xf numFmtId="0" fontId="213" fillId="0" borderId="2" xfId="0" applyFont="1" applyBorder="1"/>
    <xf numFmtId="0" fontId="214" fillId="0" borderId="3" xfId="0" applyFont="1" applyBorder="1"/>
    <xf numFmtId="0" fontId="214" fillId="0" borderId="0" xfId="0" applyFont="1" applyAlignment="1"/>
    <xf numFmtId="0" fontId="214" fillId="0" borderId="0" xfId="0" applyFont="1"/>
    <xf numFmtId="0" fontId="215" fillId="0" borderId="0" xfId="0" applyFont="1" applyBorder="1" applyAlignment="1">
      <alignment horizontal="center"/>
    </xf>
    <xf numFmtId="0" fontId="214" fillId="0" borderId="0" xfId="0" applyFont="1" applyBorder="1"/>
    <xf numFmtId="49" fontId="216" fillId="0" borderId="6" xfId="0" applyNumberFormat="1" applyFont="1" applyBorder="1" applyAlignment="1">
      <alignment horizontal="center"/>
    </xf>
    <xf numFmtId="49" fontId="214" fillId="0" borderId="0" xfId="0" applyNumberFormat="1" applyFont="1"/>
    <xf numFmtId="0" fontId="214" fillId="0" borderId="1" xfId="0" applyFont="1" applyBorder="1"/>
    <xf numFmtId="0" fontId="214" fillId="0" borderId="12" xfId="0" applyFont="1" applyBorder="1"/>
    <xf numFmtId="49" fontId="216" fillId="0" borderId="13" xfId="0" applyNumberFormat="1" applyFont="1" applyBorder="1" applyAlignment="1">
      <alignment horizontal="center"/>
    </xf>
    <xf numFmtId="0" fontId="214" fillId="0" borderId="34" xfId="0" applyFont="1" applyBorder="1" applyAlignment="1">
      <alignment horizontal="center"/>
    </xf>
    <xf numFmtId="0" fontId="214" fillId="0" borderId="35" xfId="0" applyFont="1" applyBorder="1"/>
    <xf numFmtId="49" fontId="216" fillId="0" borderId="1" xfId="0" applyNumberFormat="1" applyFont="1" applyBorder="1" applyAlignment="1">
      <alignment horizontal="center"/>
    </xf>
    <xf numFmtId="0" fontId="214" fillId="0" borderId="33" xfId="0" applyFont="1" applyBorder="1"/>
    <xf numFmtId="0" fontId="213" fillId="0" borderId="7" xfId="0" applyFont="1" applyBorder="1" applyAlignment="1">
      <alignment horizontal="center"/>
    </xf>
    <xf numFmtId="0" fontId="214" fillId="0" borderId="8" xfId="0" applyFont="1" applyBorder="1" applyAlignment="1">
      <alignment horizontal="center"/>
    </xf>
    <xf numFmtId="0" fontId="214" fillId="0" borderId="8" xfId="0" applyFont="1" applyBorder="1"/>
    <xf numFmtId="0" fontId="215" fillId="0" borderId="8" xfId="0" applyFont="1" applyBorder="1" applyAlignment="1">
      <alignment horizontal="center"/>
    </xf>
    <xf numFmtId="49" fontId="216" fillId="0" borderId="9" xfId="0" applyNumberFormat="1" applyFont="1" applyBorder="1" applyAlignment="1">
      <alignment horizontal="center"/>
    </xf>
    <xf numFmtId="0" fontId="213" fillId="0" borderId="5" xfId="0" applyFont="1" applyBorder="1" applyAlignment="1"/>
    <xf numFmtId="0" fontId="214" fillId="0" borderId="12" xfId="0" applyFont="1" applyBorder="1" applyAlignment="1"/>
    <xf numFmtId="0" fontId="214" fillId="0" borderId="15" xfId="0" applyFont="1" applyBorder="1" applyAlignment="1"/>
    <xf numFmtId="0" fontId="214" fillId="0" borderId="13" xfId="0" applyFont="1" applyBorder="1"/>
    <xf numFmtId="0" fontId="213" fillId="0" borderId="5" xfId="0" applyFont="1" applyBorder="1"/>
    <xf numFmtId="0" fontId="217" fillId="0" borderId="0" xfId="0" applyFont="1" applyBorder="1"/>
    <xf numFmtId="0" fontId="214" fillId="0" borderId="0" xfId="0" applyFont="1" applyAlignment="1">
      <alignment horizontal="center"/>
    </xf>
    <xf numFmtId="43" fontId="218" fillId="0" borderId="0" xfId="0" applyNumberFormat="1" applyFont="1" applyBorder="1" applyAlignment="1">
      <alignment horizontal="right"/>
    </xf>
    <xf numFmtId="0" fontId="213" fillId="0" borderId="7" xfId="0" applyFont="1" applyBorder="1"/>
    <xf numFmtId="0" fontId="217" fillId="0" borderId="8" xfId="0" applyFont="1" applyBorder="1"/>
    <xf numFmtId="43" fontId="214" fillId="0" borderId="8" xfId="0" applyNumberFormat="1" applyFont="1" applyBorder="1"/>
    <xf numFmtId="43" fontId="214" fillId="0" borderId="0" xfId="0" applyNumberFormat="1" applyFont="1" applyBorder="1"/>
    <xf numFmtId="49" fontId="215" fillId="0" borderId="0" xfId="0" applyNumberFormat="1" applyFont="1" applyBorder="1" applyAlignment="1">
      <alignment horizontal="center"/>
    </xf>
    <xf numFmtId="49" fontId="217" fillId="0" borderId="0" xfId="0" applyNumberFormat="1" applyFont="1" applyBorder="1" applyAlignment="1">
      <alignment horizontal="left"/>
    </xf>
    <xf numFmtId="49" fontId="217" fillId="0" borderId="0" xfId="0" applyNumberFormat="1" applyFont="1" applyBorder="1"/>
    <xf numFmtId="49" fontId="217" fillId="0" borderId="8" xfId="0" applyNumberFormat="1" applyFont="1" applyBorder="1"/>
    <xf numFmtId="49" fontId="215" fillId="0" borderId="8" xfId="0" applyNumberFormat="1" applyFont="1" applyBorder="1" applyAlignment="1">
      <alignment horizontal="center"/>
    </xf>
    <xf numFmtId="43" fontId="218" fillId="0" borderId="8" xfId="0" applyNumberFormat="1" applyFont="1" applyBorder="1" applyAlignment="1">
      <alignment horizontal="right"/>
    </xf>
    <xf numFmtId="0" fontId="213" fillId="0" borderId="3" xfId="0" applyFont="1" applyBorder="1"/>
    <xf numFmtId="49" fontId="214" fillId="0" borderId="3" xfId="0" applyNumberFormat="1" applyFont="1" applyBorder="1"/>
    <xf numFmtId="0" fontId="215" fillId="0" borderId="3" xfId="0" applyFont="1" applyBorder="1" applyAlignment="1">
      <alignment horizontal="center"/>
    </xf>
    <xf numFmtId="43" fontId="218" fillId="0" borderId="3" xfId="0" applyNumberFormat="1" applyFont="1" applyBorder="1" applyAlignment="1">
      <alignment horizontal="right"/>
    </xf>
    <xf numFmtId="49" fontId="216" fillId="0" borderId="4" xfId="0" applyNumberFormat="1" applyFont="1" applyBorder="1" applyAlignment="1">
      <alignment horizontal="center"/>
    </xf>
    <xf numFmtId="49" fontId="213" fillId="0" borderId="0" xfId="0" applyNumberFormat="1" applyFont="1" applyBorder="1"/>
    <xf numFmtId="49" fontId="214" fillId="0" borderId="0" xfId="0" applyNumberFormat="1" applyFont="1" applyBorder="1"/>
    <xf numFmtId="49" fontId="219" fillId="0" borderId="0" xfId="0" applyNumberFormat="1" applyFont="1" applyBorder="1"/>
    <xf numFmtId="0" fontId="219" fillId="0" borderId="0" xfId="0" applyFont="1" applyBorder="1"/>
    <xf numFmtId="49" fontId="219" fillId="0" borderId="1" xfId="0" applyNumberFormat="1" applyFont="1" applyBorder="1"/>
    <xf numFmtId="49" fontId="220" fillId="0" borderId="0" xfId="0" applyNumberFormat="1" applyFont="1" applyBorder="1"/>
    <xf numFmtId="49" fontId="213" fillId="0" borderId="8" xfId="0" applyNumberFormat="1" applyFont="1" applyBorder="1"/>
    <xf numFmtId="49" fontId="214" fillId="0" borderId="8" xfId="0" applyNumberFormat="1" applyFont="1" applyBorder="1"/>
    <xf numFmtId="0" fontId="213" fillId="0" borderId="0" xfId="0" applyFont="1" applyBorder="1"/>
    <xf numFmtId="49" fontId="220" fillId="0" borderId="8" xfId="0" applyNumberFormat="1" applyFont="1" applyBorder="1"/>
    <xf numFmtId="49" fontId="219" fillId="0" borderId="8" xfId="0" applyNumberFormat="1" applyFont="1" applyBorder="1"/>
    <xf numFmtId="43" fontId="218" fillId="0" borderId="15" xfId="0" applyNumberFormat="1" applyFont="1" applyBorder="1" applyAlignment="1">
      <alignment horizontal="right"/>
    </xf>
    <xf numFmtId="49" fontId="213" fillId="0" borderId="3" xfId="0" applyNumberFormat="1" applyFont="1" applyBorder="1"/>
    <xf numFmtId="49" fontId="219" fillId="0" borderId="3" xfId="0" applyNumberFormat="1" applyFont="1" applyBorder="1"/>
    <xf numFmtId="49" fontId="215" fillId="0" borderId="3" xfId="0" applyNumberFormat="1" applyFont="1" applyBorder="1" applyAlignment="1">
      <alignment horizontal="center"/>
    </xf>
    <xf numFmtId="49" fontId="214" fillId="0" borderId="2" xfId="0" applyNumberFormat="1" applyFont="1" applyBorder="1"/>
    <xf numFmtId="49" fontId="214" fillId="0" borderId="4" xfId="0" applyNumberFormat="1" applyFont="1" applyBorder="1"/>
    <xf numFmtId="0" fontId="214" fillId="0" borderId="2" xfId="0" applyFont="1" applyBorder="1"/>
    <xf numFmtId="0" fontId="214" fillId="0" borderId="4" xfId="0" applyFont="1" applyBorder="1"/>
    <xf numFmtId="49" fontId="214" fillId="0" borderId="5" xfId="0" applyNumberFormat="1" applyFont="1" applyBorder="1"/>
    <xf numFmtId="49" fontId="214" fillId="0" borderId="6" xfId="0" applyNumberFormat="1" applyFont="1" applyBorder="1"/>
    <xf numFmtId="0" fontId="214" fillId="0" borderId="5" xfId="0" applyFont="1" applyBorder="1"/>
    <xf numFmtId="0" fontId="214" fillId="0" borderId="6" xfId="0" applyFont="1" applyBorder="1"/>
    <xf numFmtId="49" fontId="214" fillId="0" borderId="7" xfId="0" applyNumberFormat="1" applyFont="1" applyBorder="1"/>
    <xf numFmtId="49" fontId="214" fillId="0" borderId="9" xfId="0" applyNumberFormat="1" applyFont="1" applyBorder="1"/>
    <xf numFmtId="0" fontId="214" fillId="0" borderId="7" xfId="0" applyFont="1" applyBorder="1"/>
    <xf numFmtId="0" fontId="214" fillId="0" borderId="9" xfId="0" applyFont="1" applyBorder="1"/>
    <xf numFmtId="49" fontId="219" fillId="0" borderId="0" xfId="0" applyNumberFormat="1" applyFont="1" applyBorder="1" applyAlignment="1">
      <alignment horizontal="center"/>
    </xf>
    <xf numFmtId="49" fontId="213" fillId="0" borderId="13" xfId="0" applyNumberFormat="1" applyFont="1" applyBorder="1"/>
    <xf numFmtId="49" fontId="219" fillId="0" borderId="1" xfId="0" applyNumberFormat="1" applyFont="1" applyBorder="1" applyAlignment="1">
      <alignment horizontal="center"/>
    </xf>
    <xf numFmtId="49" fontId="219" fillId="0" borderId="8" xfId="0" applyNumberFormat="1" applyFont="1" applyBorder="1" applyAlignment="1">
      <alignment horizontal="center"/>
    </xf>
    <xf numFmtId="0" fontId="219" fillId="0" borderId="8" xfId="0" applyFont="1" applyBorder="1"/>
    <xf numFmtId="49" fontId="213" fillId="0" borderId="0" xfId="0" applyNumberFormat="1" applyFont="1"/>
    <xf numFmtId="49" fontId="215" fillId="0" borderId="0" xfId="0" applyNumberFormat="1" applyFont="1" applyAlignment="1">
      <alignment horizontal="center"/>
    </xf>
    <xf numFmtId="0" fontId="213" fillId="0" borderId="0" xfId="0" applyFont="1"/>
    <xf numFmtId="0" fontId="215" fillId="0" borderId="0" xfId="0" applyFont="1" applyAlignment="1">
      <alignment horizontal="center"/>
    </xf>
    <xf numFmtId="49" fontId="216" fillId="0" borderId="0" xfId="0" applyNumberFormat="1" applyFont="1" applyAlignment="1">
      <alignment horizontal="center"/>
    </xf>
    <xf numFmtId="0" fontId="0" fillId="8" borderId="260" xfId="3" applyNumberFormat="1" applyFont="1" applyFill="1" applyBorder="1" applyAlignment="1">
      <alignment horizontal="center"/>
    </xf>
    <xf numFmtId="0" fontId="0" fillId="8" borderId="326" xfId="3" applyNumberFormat="1" applyFont="1" applyFill="1" applyBorder="1" applyAlignment="1">
      <alignment horizontal="center"/>
    </xf>
    <xf numFmtId="0" fontId="222" fillId="0" borderId="0" xfId="0" applyFont="1" applyAlignment="1">
      <alignment horizontal="center"/>
    </xf>
    <xf numFmtId="0" fontId="224" fillId="0" borderId="0" xfId="0" applyFont="1"/>
    <xf numFmtId="0" fontId="224" fillId="0" borderId="0" xfId="0" applyFont="1" applyAlignment="1">
      <alignment horizontal="center"/>
    </xf>
    <xf numFmtId="0" fontId="225" fillId="0" borderId="0" xfId="0" applyFont="1" applyAlignment="1">
      <alignment horizontal="center"/>
    </xf>
    <xf numFmtId="43" fontId="224" fillId="0" borderId="0" xfId="0" applyNumberFormat="1" applyFont="1" applyAlignment="1"/>
    <xf numFmtId="0" fontId="224" fillId="0" borderId="0" xfId="0" applyFont="1" applyBorder="1"/>
    <xf numFmtId="43" fontId="224" fillId="0" borderId="0" xfId="0" applyNumberFormat="1" applyFont="1" applyAlignment="1">
      <alignment horizontal="center"/>
    </xf>
    <xf numFmtId="0" fontId="224" fillId="0" borderId="0" xfId="0" applyFont="1" applyBorder="1" applyAlignment="1">
      <alignment horizontal="center"/>
    </xf>
    <xf numFmtId="0" fontId="224" fillId="0" borderId="10" xfId="0" applyFont="1" applyBorder="1" applyAlignment="1">
      <alignment horizontal="center" vertical="center" wrapText="1"/>
    </xf>
    <xf numFmtId="0" fontId="224" fillId="0" borderId="10" xfId="0" applyFont="1" applyBorder="1" applyAlignment="1">
      <alignment vertical="center" wrapText="1"/>
    </xf>
    <xf numFmtId="0" fontId="229" fillId="0" borderId="10" xfId="0" applyFont="1" applyBorder="1" applyAlignment="1">
      <alignment horizontal="center" vertical="center" wrapText="1"/>
    </xf>
    <xf numFmtId="0" fontId="224" fillId="0" borderId="0" xfId="0" applyFont="1" applyBorder="1" applyAlignment="1">
      <alignment horizontal="center" vertical="center" wrapText="1"/>
    </xf>
    <xf numFmtId="0" fontId="224" fillId="0" borderId="0" xfId="0" applyFont="1" applyFill="1" applyBorder="1" applyAlignment="1">
      <alignment horizontal="center" vertical="center" wrapText="1"/>
    </xf>
    <xf numFmtId="0" fontId="224" fillId="0" borderId="0" xfId="0" applyFont="1" applyFill="1" applyBorder="1"/>
    <xf numFmtId="0" fontId="224" fillId="0" borderId="130" xfId="0" applyFont="1" applyBorder="1"/>
    <xf numFmtId="0" fontId="224" fillId="23" borderId="301" xfId="0" applyNumberFormat="1" applyFont="1" applyFill="1" applyBorder="1" applyAlignment="1">
      <alignment horizontal="center"/>
    </xf>
    <xf numFmtId="0" fontId="224" fillId="0" borderId="130" xfId="0" applyFont="1" applyBorder="1" applyAlignment="1">
      <alignment horizontal="center"/>
    </xf>
    <xf numFmtId="0" fontId="224" fillId="0" borderId="2" xfId="0" applyFont="1" applyFill="1" applyBorder="1"/>
    <xf numFmtId="0" fontId="224" fillId="23" borderId="301" xfId="0" applyNumberFormat="1" applyFont="1" applyFill="1" applyBorder="1"/>
    <xf numFmtId="43" fontId="224" fillId="0" borderId="0" xfId="0" applyNumberFormat="1" applyFont="1" applyFill="1" applyBorder="1"/>
    <xf numFmtId="43" fontId="224" fillId="23" borderId="301" xfId="0" applyNumberFormat="1" applyFont="1" applyFill="1" applyBorder="1"/>
    <xf numFmtId="43" fontId="224" fillId="0" borderId="302" xfId="0" applyNumberFormat="1" applyFont="1" applyBorder="1"/>
    <xf numFmtId="0" fontId="224" fillId="0" borderId="121" xfId="0" applyFont="1" applyBorder="1"/>
    <xf numFmtId="0" fontId="224" fillId="0" borderId="121" xfId="0" applyFont="1" applyBorder="1" applyAlignment="1">
      <alignment horizontal="center"/>
    </xf>
    <xf numFmtId="0" fontId="224" fillId="0" borderId="5" xfId="0" applyFont="1" applyFill="1" applyBorder="1"/>
    <xf numFmtId="0" fontId="224" fillId="0" borderId="0" xfId="0" applyNumberFormat="1" applyFont="1" applyFill="1" applyBorder="1"/>
    <xf numFmtId="43" fontId="224" fillId="0" borderId="34" xfId="0" applyNumberFormat="1" applyFont="1" applyFill="1" applyBorder="1"/>
    <xf numFmtId="43" fontId="224" fillId="0" borderId="121" xfId="0" applyNumberFormat="1" applyFont="1" applyBorder="1"/>
    <xf numFmtId="0" fontId="230" fillId="0" borderId="124" xfId="0" applyFont="1" applyBorder="1"/>
    <xf numFmtId="0" fontId="224" fillId="0" borderId="124" xfId="0" applyFont="1" applyBorder="1" applyAlignment="1">
      <alignment horizontal="center"/>
    </xf>
    <xf numFmtId="0" fontId="231" fillId="0" borderId="17" xfId="0" applyFont="1" applyFill="1" applyBorder="1"/>
    <xf numFmtId="43" fontId="231" fillId="0" borderId="34" xfId="0" applyNumberFormat="1" applyFont="1" applyFill="1" applyBorder="1"/>
    <xf numFmtId="43" fontId="224" fillId="0" borderId="124" xfId="0" applyNumberFormat="1" applyFont="1" applyBorder="1"/>
    <xf numFmtId="43" fontId="224" fillId="0" borderId="304" xfId="0" applyNumberFormat="1" applyFont="1" applyBorder="1"/>
    <xf numFmtId="0" fontId="230" fillId="0" borderId="122" xfId="0" applyFont="1" applyBorder="1"/>
    <xf numFmtId="0" fontId="224" fillId="0" borderId="122" xfId="0" applyFont="1" applyBorder="1" applyAlignment="1">
      <alignment horizontal="center"/>
    </xf>
    <xf numFmtId="0" fontId="224" fillId="0" borderId="129" xfId="0" applyFont="1" applyFill="1" applyBorder="1"/>
    <xf numFmtId="43" fontId="224" fillId="0" borderId="301" xfId="0" applyNumberFormat="1" applyFont="1" applyBorder="1"/>
    <xf numFmtId="0" fontId="230" fillId="0" borderId="121" xfId="0" applyFont="1" applyBorder="1"/>
    <xf numFmtId="0" fontId="224" fillId="0" borderId="119" xfId="0" applyFont="1" applyBorder="1" applyAlignment="1">
      <alignment horizontal="center"/>
    </xf>
    <xf numFmtId="0" fontId="232" fillId="0" borderId="17" xfId="0" applyFont="1" applyFill="1" applyBorder="1"/>
    <xf numFmtId="43" fontId="232" fillId="0" borderId="34" xfId="0" applyNumberFormat="1" applyFont="1" applyFill="1" applyBorder="1"/>
    <xf numFmtId="43" fontId="224" fillId="0" borderId="119" xfId="0" applyNumberFormat="1" applyFont="1" applyBorder="1"/>
    <xf numFmtId="43" fontId="224" fillId="0" borderId="300" xfId="0" applyNumberFormat="1" applyFont="1" applyBorder="1"/>
    <xf numFmtId="0" fontId="224" fillId="0" borderId="126" xfId="0" applyFont="1" applyBorder="1"/>
    <xf numFmtId="0" fontId="224" fillId="0" borderId="126" xfId="0" applyFont="1" applyBorder="1" applyAlignment="1">
      <alignment horizontal="center"/>
    </xf>
    <xf numFmtId="43" fontId="224" fillId="0" borderId="305" xfId="0" applyNumberFormat="1" applyFont="1" applyBorder="1"/>
    <xf numFmtId="43" fontId="232" fillId="0" borderId="0" xfId="0" applyNumberFormat="1" applyFont="1" applyFill="1" applyBorder="1"/>
    <xf numFmtId="0" fontId="224" fillId="0" borderId="0" xfId="0" applyFont="1" applyFill="1" applyBorder="1" applyAlignment="1"/>
    <xf numFmtId="0" fontId="224" fillId="0" borderId="167" xfId="0" applyFont="1" applyBorder="1" applyAlignment="1">
      <alignment horizontal="center"/>
    </xf>
    <xf numFmtId="0" fontId="230" fillId="0" borderId="175" xfId="0" applyFont="1" applyFill="1" applyBorder="1"/>
    <xf numFmtId="43" fontId="224" fillId="0" borderId="169" xfId="0" applyNumberFormat="1" applyFont="1" applyFill="1" applyBorder="1"/>
    <xf numFmtId="43" fontId="224" fillId="0" borderId="167" xfId="0" applyNumberFormat="1" applyFont="1" applyBorder="1"/>
    <xf numFmtId="43" fontId="224" fillId="0" borderId="306" xfId="0" applyNumberFormat="1" applyFont="1" applyBorder="1"/>
    <xf numFmtId="0" fontId="224" fillId="0" borderId="5" xfId="0" applyFont="1" applyBorder="1"/>
    <xf numFmtId="0" fontId="230" fillId="0" borderId="0" xfId="0" applyNumberFormat="1" applyFont="1" applyBorder="1"/>
    <xf numFmtId="0" fontId="230" fillId="0" borderId="119" xfId="0" applyFont="1" applyBorder="1"/>
    <xf numFmtId="0" fontId="230" fillId="0" borderId="17" xfId="0" applyFont="1" applyBorder="1"/>
    <xf numFmtId="0" fontId="224" fillId="0" borderId="127" xfId="0" applyFont="1" applyBorder="1"/>
    <xf numFmtId="0" fontId="230" fillId="0" borderId="0" xfId="0" applyFont="1" applyBorder="1" applyAlignment="1"/>
    <xf numFmtId="0" fontId="224" fillId="0" borderId="28" xfId="0" applyFont="1" applyBorder="1"/>
    <xf numFmtId="0" fontId="224" fillId="0" borderId="303" xfId="0" applyNumberFormat="1" applyFont="1" applyBorder="1"/>
    <xf numFmtId="0" fontId="224" fillId="0" borderId="190" xfId="0" applyNumberFormat="1" applyFont="1" applyBorder="1"/>
    <xf numFmtId="0" fontId="230" fillId="0" borderId="125" xfId="0" applyFont="1" applyBorder="1"/>
    <xf numFmtId="0" fontId="224" fillId="0" borderId="122" xfId="0" applyFont="1" applyBorder="1"/>
    <xf numFmtId="0" fontId="230" fillId="0" borderId="121" xfId="0" applyNumberFormat="1" applyFont="1" applyBorder="1"/>
    <xf numFmtId="0" fontId="230" fillId="0" borderId="127" xfId="0" applyNumberFormat="1" applyFont="1" applyBorder="1"/>
    <xf numFmtId="0" fontId="224" fillId="0" borderId="121" xfId="0" applyNumberFormat="1" applyFont="1" applyFill="1" applyBorder="1"/>
    <xf numFmtId="0" fontId="224" fillId="0" borderId="127" xfId="0" applyNumberFormat="1" applyFont="1" applyFill="1" applyBorder="1"/>
    <xf numFmtId="0" fontId="224" fillId="0" borderId="119" xfId="0" applyFont="1" applyBorder="1"/>
    <xf numFmtId="0" fontId="224" fillId="0" borderId="123" xfId="0" applyFont="1" applyBorder="1"/>
    <xf numFmtId="0" fontId="230" fillId="0" borderId="303" xfId="0" applyNumberFormat="1" applyFont="1" applyBorder="1"/>
    <xf numFmtId="0" fontId="230" fillId="0" borderId="190" xfId="0" applyNumberFormat="1" applyFont="1" applyBorder="1"/>
    <xf numFmtId="0" fontId="230" fillId="0" borderId="120" xfId="0" applyFont="1" applyBorder="1"/>
    <xf numFmtId="0" fontId="224" fillId="0" borderId="21" xfId="0" applyFont="1" applyBorder="1"/>
    <xf numFmtId="0" fontId="224" fillId="0" borderId="21" xfId="0" applyFont="1" applyBorder="1" applyAlignment="1">
      <alignment horizontal="center"/>
    </xf>
    <xf numFmtId="0" fontId="224" fillId="0" borderId="8" xfId="0" applyFont="1" applyBorder="1" applyAlignment="1">
      <alignment horizontal="center" vertical="center"/>
    </xf>
    <xf numFmtId="43" fontId="224" fillId="17" borderId="21" xfId="0" applyNumberFormat="1" applyFont="1" applyFill="1" applyBorder="1"/>
    <xf numFmtId="0" fontId="224" fillId="0" borderId="3" xfId="0" applyFont="1" applyBorder="1"/>
    <xf numFmtId="0" fontId="233" fillId="0" borderId="3" xfId="0" applyFont="1" applyFill="1" applyBorder="1" applyAlignment="1"/>
    <xf numFmtId="0" fontId="224" fillId="0" borderId="0" xfId="0" applyFont="1" applyAlignment="1"/>
    <xf numFmtId="0" fontId="234" fillId="0" borderId="0" xfId="0" applyFont="1" applyAlignment="1">
      <alignment horizontal="center"/>
    </xf>
    <xf numFmtId="0" fontId="234" fillId="0" borderId="0" xfId="0" applyFont="1"/>
    <xf numFmtId="0" fontId="222" fillId="0" borderId="0" xfId="0" applyFont="1" applyFill="1" applyBorder="1" applyAlignment="1">
      <alignment horizontal="center"/>
    </xf>
    <xf numFmtId="0" fontId="234" fillId="0" borderId="0" xfId="0" applyFont="1" applyFill="1" applyBorder="1" applyAlignment="1">
      <alignment horizontal="center"/>
    </xf>
    <xf numFmtId="0" fontId="222" fillId="0" borderId="8" xfId="0" applyFont="1" applyFill="1" applyBorder="1" applyAlignment="1">
      <alignment horizontal="center"/>
    </xf>
    <xf numFmtId="0" fontId="224" fillId="0" borderId="8" xfId="0" applyFont="1" applyBorder="1" applyAlignment="1">
      <alignment horizontal="center"/>
    </xf>
    <xf numFmtId="43" fontId="224" fillId="0" borderId="8" xfId="0" applyNumberFormat="1" applyFont="1" applyBorder="1"/>
    <xf numFmtId="0" fontId="234" fillId="0" borderId="8" xfId="0" applyFont="1" applyFill="1" applyBorder="1" applyAlignment="1">
      <alignment horizontal="center"/>
    </xf>
    <xf numFmtId="43" fontId="224" fillId="0" borderId="0" xfId="0" applyNumberFormat="1" applyFont="1"/>
    <xf numFmtId="0" fontId="222" fillId="0" borderId="2" xfId="0" applyFont="1" applyBorder="1" applyAlignment="1">
      <alignment horizontal="center"/>
    </xf>
    <xf numFmtId="0" fontId="222" fillId="0" borderId="4" xfId="0" applyFont="1" applyBorder="1" applyAlignment="1">
      <alignment horizontal="center"/>
    </xf>
    <xf numFmtId="0" fontId="223" fillId="0" borderId="0" xfId="0" applyFont="1" applyBorder="1" applyAlignment="1">
      <alignment horizontal="center" vertical="center" wrapText="1"/>
    </xf>
    <xf numFmtId="0" fontId="236" fillId="0" borderId="12" xfId="0" applyFont="1" applyBorder="1" applyAlignment="1">
      <alignment horizontal="center" vertical="center" wrapText="1"/>
    </xf>
    <xf numFmtId="0" fontId="236" fillId="0" borderId="13" xfId="0" applyFont="1" applyBorder="1" applyAlignment="1">
      <alignment horizontal="center" vertical="center" wrapText="1"/>
    </xf>
    <xf numFmtId="0" fontId="224" fillId="0" borderId="12" xfId="0" applyFont="1" applyFill="1" applyBorder="1" applyAlignment="1">
      <alignment horizontal="center" vertical="center" wrapText="1"/>
    </xf>
    <xf numFmtId="0" fontId="224" fillId="0" borderId="13" xfId="0" applyFont="1" applyFill="1" applyBorder="1" applyAlignment="1">
      <alignment horizontal="center" vertical="center" wrapText="1"/>
    </xf>
    <xf numFmtId="0" fontId="224" fillId="0" borderId="7" xfId="0" applyFont="1" applyBorder="1" applyAlignment="1">
      <alignment horizontal="center"/>
    </xf>
    <xf numFmtId="0" fontId="224" fillId="0" borderId="299" xfId="0" applyFont="1" applyBorder="1" applyAlignment="1">
      <alignment horizontal="center"/>
    </xf>
    <xf numFmtId="43" fontId="224" fillId="23" borderId="299" xfId="0" applyNumberFormat="1" applyFont="1" applyFill="1" applyBorder="1"/>
    <xf numFmtId="0" fontId="224" fillId="0" borderId="0" xfId="0" applyFont="1" applyFill="1" applyAlignment="1">
      <alignment horizontal="center"/>
    </xf>
    <xf numFmtId="0" fontId="224" fillId="0" borderId="180" xfId="0" applyFont="1" applyBorder="1" applyAlignment="1">
      <alignment horizontal="center"/>
    </xf>
    <xf numFmtId="43" fontId="224" fillId="23" borderId="297" xfId="0" applyNumberFormat="1" applyFont="1" applyFill="1" applyBorder="1"/>
    <xf numFmtId="0" fontId="224" fillId="0" borderId="297" xfId="0" applyFont="1" applyBorder="1" applyAlignment="1">
      <alignment horizontal="center"/>
    </xf>
    <xf numFmtId="43" fontId="224" fillId="23" borderId="11" xfId="0" applyNumberFormat="1" applyFont="1" applyFill="1" applyBorder="1"/>
    <xf numFmtId="0" fontId="224" fillId="0" borderId="11" xfId="0" applyFont="1" applyBorder="1" applyAlignment="1">
      <alignment horizontal="center"/>
    </xf>
    <xf numFmtId="0" fontId="224" fillId="0" borderId="269" xfId="0" applyFont="1" applyBorder="1" applyAlignment="1">
      <alignment horizontal="center"/>
    </xf>
    <xf numFmtId="0" fontId="234" fillId="0" borderId="269" xfId="0" applyFont="1" applyBorder="1" applyAlignment="1">
      <alignment horizontal="center"/>
    </xf>
    <xf numFmtId="43" fontId="224" fillId="23" borderId="269" xfId="0" applyNumberFormat="1" applyFont="1" applyFill="1" applyBorder="1"/>
    <xf numFmtId="43" fontId="224" fillId="0" borderId="269" xfId="0" applyNumberFormat="1" applyFont="1" applyFill="1" applyBorder="1"/>
    <xf numFmtId="0" fontId="230" fillId="0" borderId="299" xfId="0" applyFont="1" applyBorder="1"/>
    <xf numFmtId="0" fontId="224" fillId="0" borderId="182" xfId="0" applyFont="1" applyBorder="1" applyAlignment="1">
      <alignment horizontal="center"/>
    </xf>
    <xf numFmtId="43" fontId="224" fillId="23" borderId="182" xfId="0" applyNumberFormat="1" applyFont="1" applyFill="1" applyBorder="1"/>
    <xf numFmtId="0" fontId="230" fillId="0" borderId="180" xfId="0" applyFont="1" applyBorder="1"/>
    <xf numFmtId="0" fontId="224" fillId="0" borderId="0" xfId="0" applyFont="1" applyFill="1" applyBorder="1" applyAlignment="1">
      <alignment horizontal="center"/>
    </xf>
    <xf numFmtId="0" fontId="238" fillId="0" borderId="0" xfId="0" applyFont="1"/>
    <xf numFmtId="0" fontId="224" fillId="0" borderId="78" xfId="0" applyFont="1" applyBorder="1" applyAlignment="1">
      <alignment horizontal="center"/>
    </xf>
    <xf numFmtId="43" fontId="224" fillId="23" borderId="78" xfId="0" applyNumberFormat="1" applyFont="1" applyFill="1" applyBorder="1"/>
    <xf numFmtId="43" fontId="224" fillId="0" borderId="78" xfId="0" applyNumberFormat="1" applyFont="1" applyFill="1" applyBorder="1"/>
    <xf numFmtId="0" fontId="222" fillId="0" borderId="0" xfId="0" applyFont="1" applyBorder="1" applyAlignment="1">
      <alignment horizontal="center"/>
    </xf>
    <xf numFmtId="0" fontId="224" fillId="0" borderId="298" xfId="0" applyFont="1" applyBorder="1" applyAlignment="1">
      <alignment horizontal="center"/>
    </xf>
    <xf numFmtId="43" fontId="224" fillId="0" borderId="297" xfId="0" applyNumberFormat="1" applyFont="1" applyFill="1" applyBorder="1"/>
    <xf numFmtId="43" fontId="224" fillId="23" borderId="0" xfId="0" applyNumberFormat="1" applyFont="1" applyFill="1" applyBorder="1"/>
    <xf numFmtId="0" fontId="224" fillId="0" borderId="40" xfId="0" applyFont="1" applyBorder="1" applyAlignment="1">
      <alignment horizontal="center"/>
    </xf>
    <xf numFmtId="43" fontId="224" fillId="23" borderId="40" xfId="0" applyNumberFormat="1" applyFont="1" applyFill="1" applyBorder="1"/>
    <xf numFmtId="0" fontId="230" fillId="0" borderId="0" xfId="0" applyFont="1" applyBorder="1"/>
    <xf numFmtId="43" fontId="224" fillId="0" borderId="0" xfId="0" applyNumberFormat="1" applyFont="1" applyBorder="1"/>
    <xf numFmtId="43" fontId="224" fillId="0" borderId="0" xfId="0" applyNumberFormat="1" applyFont="1" applyBorder="1" applyAlignment="1">
      <alignment horizontal="center"/>
    </xf>
    <xf numFmtId="0" fontId="222" fillId="0" borderId="0" xfId="0" applyFont="1" applyFill="1" applyBorder="1" applyAlignment="1"/>
    <xf numFmtId="0" fontId="239" fillId="0" borderId="0" xfId="0" applyFont="1" applyFill="1" applyBorder="1" applyAlignment="1">
      <alignment horizontal="center"/>
    </xf>
    <xf numFmtId="0" fontId="239" fillId="0" borderId="0" xfId="0" applyFont="1" applyFill="1" applyBorder="1" applyAlignment="1"/>
    <xf numFmtId="0" fontId="223" fillId="0" borderId="0" xfId="0" applyFont="1" applyFill="1" applyBorder="1" applyAlignment="1">
      <alignment vertical="center" wrapText="1"/>
    </xf>
    <xf numFmtId="0" fontId="229" fillId="0" borderId="0" xfId="0" applyFont="1" applyFill="1" applyBorder="1" applyAlignment="1">
      <alignment horizontal="center" vertical="center" wrapText="1"/>
    </xf>
    <xf numFmtId="0" fontId="230" fillId="0" borderId="0" xfId="0" applyFont="1" applyFill="1" applyBorder="1"/>
    <xf numFmtId="0" fontId="224" fillId="0" borderId="0" xfId="0" applyFont="1" applyFill="1" applyBorder="1" applyAlignment="1">
      <alignment horizontal="center" vertical="center"/>
    </xf>
    <xf numFmtId="0" fontId="224" fillId="0" borderId="0" xfId="0" applyNumberFormat="1" applyFont="1" applyFill="1" applyBorder="1" applyAlignment="1">
      <alignment horizontal="center" vertical="center"/>
    </xf>
    <xf numFmtId="0" fontId="233" fillId="0" borderId="0" xfId="0" applyFont="1" applyFill="1" applyBorder="1" applyAlignment="1"/>
    <xf numFmtId="43" fontId="224" fillId="0" borderId="0" xfId="0" applyNumberFormat="1" applyFont="1" applyFill="1" applyBorder="1" applyAlignment="1"/>
    <xf numFmtId="0" fontId="224" fillId="0" borderId="0" xfId="0" applyFont="1" applyBorder="1" applyAlignment="1"/>
    <xf numFmtId="44" fontId="108" fillId="0" borderId="0" xfId="0" applyNumberFormat="1" applyFont="1"/>
    <xf numFmtId="44" fontId="108" fillId="0" borderId="0" xfId="0" applyNumberFormat="1" applyFont="1" applyBorder="1"/>
    <xf numFmtId="43" fontId="107" fillId="0" borderId="0" xfId="0" applyNumberFormat="1" applyFont="1"/>
    <xf numFmtId="0" fontId="31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356" xfId="0" applyFont="1" applyBorder="1" applyAlignment="1"/>
    <xf numFmtId="43" fontId="0" fillId="0" borderId="37" xfId="0" applyNumberFormat="1" applyBorder="1"/>
    <xf numFmtId="43" fontId="2" fillId="0" borderId="37" xfId="0" applyNumberFormat="1" applyFont="1" applyBorder="1"/>
    <xf numFmtId="0" fontId="26" fillId="0" borderId="53" xfId="0" applyFont="1" applyBorder="1" applyAlignment="1"/>
    <xf numFmtId="0" fontId="66" fillId="0" borderId="37" xfId="0" applyFont="1" applyBorder="1"/>
    <xf numFmtId="0" fontId="0" fillId="0" borderId="53" xfId="0" applyBorder="1" applyAlignment="1">
      <alignment horizontal="right"/>
    </xf>
    <xf numFmtId="0" fontId="0" fillId="0" borderId="53" xfId="0" applyFill="1" applyBorder="1"/>
    <xf numFmtId="43" fontId="10" fillId="0" borderId="37" xfId="0" applyNumberFormat="1" applyFont="1" applyBorder="1"/>
    <xf numFmtId="0" fontId="6" fillId="0" borderId="53" xfId="0" applyFont="1" applyBorder="1" applyAlignment="1">
      <alignment horizontal="center"/>
    </xf>
    <xf numFmtId="0" fontId="31" fillId="0" borderId="37" xfId="0" applyFont="1" applyFill="1" applyBorder="1" applyAlignment="1">
      <alignment horizontal="center" vertical="center"/>
    </xf>
    <xf numFmtId="0" fontId="31" fillId="0" borderId="53" xfId="0" applyFont="1" applyFill="1" applyBorder="1" applyAlignment="1">
      <alignment horizontal="center" vertical="center"/>
    </xf>
    <xf numFmtId="43" fontId="3" fillId="0" borderId="0" xfId="1" applyNumberFormat="1" applyFont="1" applyBorder="1"/>
    <xf numFmtId="0" fontId="24" fillId="0" borderId="53" xfId="0" applyFont="1" applyBorder="1"/>
    <xf numFmtId="43" fontId="24" fillId="0" borderId="0" xfId="0" applyNumberFormat="1" applyFont="1" applyBorder="1"/>
    <xf numFmtId="44" fontId="0" fillId="0" borderId="0" xfId="2" applyFont="1" applyBorder="1" applyAlignment="1"/>
    <xf numFmtId="0" fontId="5" fillId="0" borderId="8" xfId="0" applyFont="1" applyBorder="1" applyAlignment="1"/>
    <xf numFmtId="0" fontId="5" fillId="0" borderId="0" xfId="0" applyFont="1" applyBorder="1" applyAlignment="1"/>
    <xf numFmtId="0" fontId="44" fillId="0" borderId="191" xfId="0" applyFont="1" applyBorder="1" applyAlignment="1"/>
    <xf numFmtId="0" fontId="240" fillId="0" borderId="0" xfId="0" applyFont="1"/>
    <xf numFmtId="0" fontId="241" fillId="0" borderId="0" xfId="0" applyFont="1"/>
    <xf numFmtId="0" fontId="242" fillId="0" borderId="0" xfId="0" applyFont="1"/>
    <xf numFmtId="0" fontId="240" fillId="0" borderId="5" xfId="0" applyFont="1" applyBorder="1"/>
    <xf numFmtId="0" fontId="241" fillId="0" borderId="21" xfId="0" applyFont="1" applyBorder="1"/>
    <xf numFmtId="0" fontId="244" fillId="0" borderId="21" xfId="0" applyFont="1" applyBorder="1" applyAlignment="1">
      <alignment horizontal="center"/>
    </xf>
    <xf numFmtId="0" fontId="240" fillId="0" borderId="21" xfId="0" applyFont="1" applyBorder="1"/>
    <xf numFmtId="0" fontId="245" fillId="0" borderId="1" xfId="0" applyFont="1" applyBorder="1" applyAlignment="1">
      <alignment horizontal="center"/>
    </xf>
    <xf numFmtId="0" fontId="253" fillId="0" borderId="1" xfId="0" applyFont="1" applyBorder="1" applyAlignment="1">
      <alignment horizontal="center"/>
    </xf>
    <xf numFmtId="0" fontId="241" fillId="0" borderId="1" xfId="0" applyFont="1" applyBorder="1" applyAlignment="1">
      <alignment horizontal="center"/>
    </xf>
    <xf numFmtId="43" fontId="246" fillId="0" borderId="262" xfId="0" applyNumberFormat="1" applyFont="1" applyBorder="1"/>
    <xf numFmtId="0" fontId="255" fillId="0" borderId="1" xfId="1" applyNumberFormat="1" applyFont="1" applyBorder="1" applyAlignment="1">
      <alignment horizontal="left"/>
    </xf>
    <xf numFmtId="43" fontId="246" fillId="0" borderId="376" xfId="0" applyNumberFormat="1" applyFont="1" applyBorder="1"/>
    <xf numFmtId="43" fontId="253" fillId="0" borderId="1" xfId="0" applyNumberFormat="1" applyFont="1" applyBorder="1"/>
    <xf numFmtId="0" fontId="249" fillId="0" borderId="355" xfId="0" applyFont="1" applyBorder="1" applyAlignment="1">
      <alignment horizontal="left"/>
    </xf>
    <xf numFmtId="0" fontId="241" fillId="0" borderId="21" xfId="0" applyFont="1" applyBorder="1" applyAlignment="1">
      <alignment horizontal="center"/>
    </xf>
    <xf numFmtId="0" fontId="240" fillId="0" borderId="1" xfId="0" applyFont="1" applyBorder="1"/>
    <xf numFmtId="0" fontId="240" fillId="0" borderId="10" xfId="0" applyFont="1" applyBorder="1"/>
    <xf numFmtId="0" fontId="244" fillId="0" borderId="369" xfId="0" applyFont="1" applyBorder="1" applyAlignment="1">
      <alignment horizontal="center"/>
    </xf>
    <xf numFmtId="43" fontId="246" fillId="6" borderId="373" xfId="0" applyNumberFormat="1" applyFont="1" applyFill="1" applyBorder="1"/>
    <xf numFmtId="0" fontId="251" fillId="0" borderId="0" xfId="0" applyFont="1" applyFill="1" applyBorder="1" applyAlignment="1">
      <alignment horizontal="center" vertical="center"/>
    </xf>
    <xf numFmtId="0" fontId="244" fillId="0" borderId="8" xfId="0" applyFont="1" applyBorder="1" applyAlignment="1">
      <alignment horizontal="center"/>
    </xf>
    <xf numFmtId="43" fontId="246" fillId="0" borderId="8" xfId="0" applyNumberFormat="1" applyFont="1" applyFill="1" applyBorder="1"/>
    <xf numFmtId="0" fontId="251" fillId="0" borderId="0" xfId="0" applyFont="1" applyFill="1" applyBorder="1" applyAlignment="1">
      <alignment vertical="center"/>
    </xf>
    <xf numFmtId="0" fontId="240" fillId="0" borderId="0" xfId="0" applyFont="1" applyFill="1"/>
    <xf numFmtId="0" fontId="240" fillId="0" borderId="0" xfId="0" applyFont="1" applyFill="1" applyAlignment="1">
      <alignment horizontal="left"/>
    </xf>
    <xf numFmtId="0" fontId="242" fillId="0" borderId="0" xfId="0" applyFont="1" applyFill="1" applyAlignment="1">
      <alignment horizontal="left"/>
    </xf>
    <xf numFmtId="0" fontId="240" fillId="0" borderId="0" xfId="0" applyFont="1" applyFill="1" applyBorder="1"/>
    <xf numFmtId="0" fontId="244" fillId="0" borderId="0" xfId="0" applyFont="1" applyFill="1" applyAlignment="1">
      <alignment horizontal="center"/>
    </xf>
    <xf numFmtId="0" fontId="242" fillId="0" borderId="0" xfId="0" applyFont="1" applyFill="1"/>
    <xf numFmtId="0" fontId="241" fillId="0" borderId="0" xfId="0" applyFont="1" applyFill="1"/>
    <xf numFmtId="0" fontId="262" fillId="0" borderId="0" xfId="0" applyFont="1" applyFill="1" applyBorder="1" applyAlignment="1">
      <alignment horizontal="center"/>
    </xf>
    <xf numFmtId="0" fontId="257" fillId="0" borderId="0" xfId="0" applyFont="1" applyFill="1" applyAlignment="1"/>
    <xf numFmtId="0" fontId="263" fillId="0" borderId="0" xfId="0" applyFont="1" applyFill="1" applyBorder="1" applyAlignment="1">
      <alignment horizontal="center"/>
    </xf>
    <xf numFmtId="0" fontId="251" fillId="0" borderId="0" xfId="0" applyFont="1" applyFill="1" applyAlignment="1">
      <alignment horizontal="center" vertical="center"/>
    </xf>
    <xf numFmtId="0" fontId="250" fillId="0" borderId="0" xfId="0" applyFont="1" applyFill="1" applyAlignment="1">
      <alignment horizontal="center"/>
    </xf>
    <xf numFmtId="0" fontId="264" fillId="0" borderId="0" xfId="0" applyFont="1" applyBorder="1" applyAlignment="1"/>
    <xf numFmtId="0" fontId="265" fillId="0" borderId="0" xfId="0" applyFont="1" applyBorder="1" applyAlignment="1"/>
    <xf numFmtId="0" fontId="253" fillId="0" borderId="13" xfId="0" applyFont="1" applyBorder="1" applyAlignment="1">
      <alignment horizontal="center"/>
    </xf>
    <xf numFmtId="0" fontId="249" fillId="0" borderId="7" xfId="0" applyFont="1" applyBorder="1" applyAlignment="1">
      <alignment horizontal="left"/>
    </xf>
    <xf numFmtId="43" fontId="253" fillId="0" borderId="13" xfId="0" applyNumberFormat="1" applyFont="1" applyBorder="1"/>
    <xf numFmtId="0" fontId="240" fillId="0" borderId="13" xfId="0" applyFont="1" applyBorder="1"/>
    <xf numFmtId="43" fontId="246" fillId="6" borderId="309" xfId="0" applyNumberFormat="1" applyFont="1" applyFill="1" applyBorder="1"/>
    <xf numFmtId="0" fontId="31" fillId="37" borderId="0" xfId="0" applyFont="1" applyFill="1" applyAlignment="1">
      <alignment horizontal="center" vertical="center"/>
    </xf>
    <xf numFmtId="43" fontId="65" fillId="0" borderId="10" xfId="1" applyNumberFormat="1" applyFont="1" applyBorder="1" applyAlignment="1">
      <alignment horizontal="center"/>
    </xf>
    <xf numFmtId="43" fontId="65" fillId="0" borderId="324" xfId="1" applyNumberFormat="1" applyFont="1" applyBorder="1" applyAlignment="1">
      <alignment horizontal="center"/>
    </xf>
    <xf numFmtId="0" fontId="30" fillId="0" borderId="187" xfId="0" applyFont="1" applyBorder="1" applyAlignment="1"/>
    <xf numFmtId="43" fontId="2" fillId="0" borderId="10" xfId="1" applyNumberFormat="1" applyFont="1" applyBorder="1" applyAlignment="1">
      <alignment horizontal="center"/>
    </xf>
    <xf numFmtId="43" fontId="2" fillId="0" borderId="324" xfId="1" applyNumberFormat="1" applyFont="1" applyBorder="1" applyAlignment="1">
      <alignment horizontal="center"/>
    </xf>
    <xf numFmtId="0" fontId="2" fillId="0" borderId="221" xfId="0" applyFont="1" applyBorder="1"/>
    <xf numFmtId="164" fontId="2" fillId="0" borderId="38" xfId="1" applyFont="1" applyBorder="1"/>
    <xf numFmtId="43" fontId="2" fillId="0" borderId="42" xfId="0" applyNumberFormat="1" applyFont="1" applyBorder="1" applyAlignment="1">
      <alignment horizontal="center" vertical="center"/>
    </xf>
    <xf numFmtId="43" fontId="1" fillId="2" borderId="38" xfId="1" applyNumberFormat="1" applyFont="1" applyFill="1" applyBorder="1"/>
    <xf numFmtId="0" fontId="135" fillId="0" borderId="42" xfId="0" applyFont="1" applyBorder="1"/>
    <xf numFmtId="0" fontId="135" fillId="0" borderId="43" xfId="0" applyFont="1" applyBorder="1"/>
    <xf numFmtId="0" fontId="139" fillId="0" borderId="42" xfId="0" applyFont="1" applyBorder="1"/>
    <xf numFmtId="43" fontId="138" fillId="2" borderId="262" xfId="0" applyNumberFormat="1" applyFont="1" applyFill="1" applyBorder="1"/>
    <xf numFmtId="0" fontId="136" fillId="0" borderId="42" xfId="0" applyFont="1" applyBorder="1"/>
    <xf numFmtId="0" fontId="10" fillId="0" borderId="57" xfId="0" applyFont="1" applyFill="1" applyBorder="1" applyAlignment="1">
      <alignment horizontal="center" vertical="center" wrapText="1"/>
    </xf>
    <xf numFmtId="0" fontId="10" fillId="0" borderId="87" xfId="0" applyFont="1" applyFill="1" applyBorder="1" applyAlignment="1">
      <alignment horizontal="center" vertical="center" wrapText="1"/>
    </xf>
    <xf numFmtId="0" fontId="0" fillId="0" borderId="0" xfId="0" applyFont="1" applyFill="1"/>
    <xf numFmtId="0" fontId="60" fillId="0" borderId="40" xfId="0" applyFont="1" applyBorder="1"/>
    <xf numFmtId="164" fontId="60" fillId="0" borderId="40" xfId="1" applyFont="1" applyBorder="1"/>
    <xf numFmtId="0" fontId="242" fillId="0" borderId="21" xfId="0" applyFont="1" applyBorder="1" applyAlignment="1">
      <alignment horizontal="left"/>
    </xf>
    <xf numFmtId="0" fontId="50" fillId="0" borderId="10" xfId="0" applyFont="1" applyBorder="1" applyAlignment="1">
      <alignment horizontal="left"/>
    </xf>
    <xf numFmtId="0" fontId="27" fillId="0" borderId="379" xfId="0" applyFont="1" applyBorder="1" applyAlignment="1">
      <alignment horizontal="left"/>
    </xf>
    <xf numFmtId="43" fontId="108" fillId="0" borderId="60" xfId="1" applyNumberFormat="1" applyFont="1" applyBorder="1"/>
    <xf numFmtId="43" fontId="76" fillId="0" borderId="40" xfId="0" applyNumberFormat="1" applyFont="1" applyFill="1" applyBorder="1"/>
    <xf numFmtId="44" fontId="266" fillId="0" borderId="0" xfId="0" applyNumberFormat="1" applyFont="1" applyBorder="1"/>
    <xf numFmtId="0" fontId="114" fillId="0" borderId="7" xfId="0" applyFont="1" applyBorder="1" applyAlignment="1">
      <alignment horizontal="left"/>
    </xf>
    <xf numFmtId="0" fontId="2" fillId="0" borderId="53" xfId="0" applyFont="1" applyBorder="1" applyAlignment="1">
      <alignment horizontal="center"/>
    </xf>
    <xf numFmtId="0" fontId="267" fillId="0" borderId="0" xfId="0" applyFont="1"/>
    <xf numFmtId="0" fontId="267" fillId="0" borderId="116" xfId="0" applyFont="1" applyBorder="1" applyAlignment="1">
      <alignment horizontal="center" vertical="center" wrapText="1"/>
    </xf>
    <xf numFmtId="0" fontId="267" fillId="0" borderId="106" xfId="0" applyFont="1" applyBorder="1" applyAlignment="1">
      <alignment horizontal="center" vertical="center"/>
    </xf>
    <xf numFmtId="0" fontId="267" fillId="0" borderId="106" xfId="0" applyFont="1" applyBorder="1" applyAlignment="1">
      <alignment horizontal="center" wrapText="1"/>
    </xf>
    <xf numFmtId="0" fontId="267" fillId="0" borderId="115" xfId="0" applyFont="1" applyBorder="1" applyAlignment="1">
      <alignment horizontal="center" wrapText="1"/>
    </xf>
    <xf numFmtId="0" fontId="267" fillId="0" borderId="10" xfId="0" applyFont="1" applyBorder="1" applyAlignment="1"/>
    <xf numFmtId="43" fontId="267" fillId="0" borderId="10" xfId="0" applyNumberFormat="1" applyFont="1" applyBorder="1" applyAlignment="1"/>
    <xf numFmtId="43" fontId="267" fillId="0" borderId="10" xfId="1" applyNumberFormat="1" applyFont="1" applyBorder="1"/>
    <xf numFmtId="0" fontId="267" fillId="0" borderId="0" xfId="0" applyFont="1" applyFill="1" applyBorder="1"/>
    <xf numFmtId="0" fontId="267" fillId="0" borderId="6" xfId="0" applyFont="1" applyBorder="1" applyAlignment="1"/>
    <xf numFmtId="0" fontId="267" fillId="0" borderId="114" xfId="0" applyFont="1" applyBorder="1"/>
    <xf numFmtId="0" fontId="267" fillId="0" borderId="5" xfId="0" applyFont="1" applyBorder="1"/>
    <xf numFmtId="43" fontId="267" fillId="0" borderId="112" xfId="1" applyNumberFormat="1" applyFont="1" applyFill="1" applyBorder="1" applyAlignment="1"/>
    <xf numFmtId="43" fontId="267" fillId="0" borderId="113" xfId="1" applyNumberFormat="1" applyFont="1" applyBorder="1"/>
    <xf numFmtId="43" fontId="271" fillId="17" borderId="112" xfId="1" applyNumberFormat="1" applyFont="1" applyFill="1" applyBorder="1"/>
    <xf numFmtId="43" fontId="267" fillId="0" borderId="112" xfId="1" applyNumberFormat="1" applyFont="1" applyBorder="1"/>
    <xf numFmtId="0" fontId="267" fillId="0" borderId="51" xfId="0" applyFont="1" applyBorder="1"/>
    <xf numFmtId="0" fontId="267" fillId="0" borderId="0" xfId="0" applyFont="1" applyFill="1" applyAlignment="1">
      <alignment horizontal="center"/>
    </xf>
    <xf numFmtId="0" fontId="267" fillId="0" borderId="11" xfId="0" applyFont="1" applyBorder="1" applyAlignment="1">
      <alignment horizontal="center" vertical="center"/>
    </xf>
    <xf numFmtId="0" fontId="267" fillId="0" borderId="11" xfId="0" applyFont="1" applyBorder="1" applyAlignment="1">
      <alignment horizontal="center" wrapText="1"/>
    </xf>
    <xf numFmtId="43" fontId="267" fillId="0" borderId="4" xfId="1" applyNumberFormat="1" applyFont="1" applyBorder="1"/>
    <xf numFmtId="43" fontId="267" fillId="0" borderId="6" xfId="1" applyNumberFormat="1" applyFont="1" applyBorder="1"/>
    <xf numFmtId="43" fontId="267" fillId="0" borderId="11" xfId="1" applyNumberFormat="1" applyFont="1" applyBorder="1"/>
    <xf numFmtId="0" fontId="267" fillId="0" borderId="149" xfId="0" applyFont="1" applyBorder="1" applyAlignment="1"/>
    <xf numFmtId="43" fontId="267" fillId="0" borderId="149" xfId="0" applyNumberFormat="1" applyFont="1" applyBorder="1" applyAlignment="1"/>
    <xf numFmtId="43" fontId="267" fillId="0" borderId="105" xfId="1" applyNumberFormat="1" applyFont="1" applyBorder="1"/>
    <xf numFmtId="43" fontId="267" fillId="0" borderId="16" xfId="1" applyNumberFormat="1" applyFont="1" applyBorder="1"/>
    <xf numFmtId="0" fontId="267" fillId="0" borderId="11" xfId="0" applyFont="1" applyBorder="1" applyAlignment="1"/>
    <xf numFmtId="43" fontId="267" fillId="0" borderId="5" xfId="0" applyNumberFormat="1" applyFont="1" applyBorder="1"/>
    <xf numFmtId="43" fontId="267" fillId="0" borderId="11" xfId="0" applyNumberFormat="1" applyFont="1" applyBorder="1"/>
    <xf numFmtId="0" fontId="267" fillId="0" borderId="11" xfId="0" applyFont="1" applyBorder="1"/>
    <xf numFmtId="164" fontId="267" fillId="0" borderId="11" xfId="1" applyFont="1" applyBorder="1"/>
    <xf numFmtId="43" fontId="271" fillId="17" borderId="11" xfId="1" applyNumberFormat="1" applyFont="1" applyFill="1" applyBorder="1"/>
    <xf numFmtId="0" fontId="267" fillId="0" borderId="21" xfId="0" applyFont="1" applyBorder="1"/>
    <xf numFmtId="0" fontId="267" fillId="0" borderId="0" xfId="0" applyFont="1" applyBorder="1"/>
    <xf numFmtId="0" fontId="269" fillId="0" borderId="0" xfId="0" applyFont="1" applyBorder="1" applyAlignment="1">
      <alignment vertical="center"/>
    </xf>
    <xf numFmtId="0" fontId="267" fillId="0" borderId="0" xfId="0" applyFont="1" applyBorder="1" applyAlignment="1">
      <alignment horizontal="center" vertical="center" wrapText="1"/>
    </xf>
    <xf numFmtId="0" fontId="267" fillId="0" borderId="0" xfId="0" applyFont="1" applyBorder="1" applyAlignment="1">
      <alignment horizontal="center" vertical="center"/>
    </xf>
    <xf numFmtId="0" fontId="267" fillId="0" borderId="0" xfId="0" applyFont="1" applyBorder="1" applyAlignment="1">
      <alignment vertical="center" wrapText="1"/>
    </xf>
    <xf numFmtId="49" fontId="267" fillId="0" borderId="0" xfId="0" applyNumberFormat="1" applyFont="1" applyBorder="1"/>
    <xf numFmtId="43" fontId="267" fillId="0" borderId="0" xfId="0" applyNumberFormat="1" applyFont="1" applyBorder="1"/>
    <xf numFmtId="43" fontId="267" fillId="0" borderId="0" xfId="1" applyNumberFormat="1" applyFont="1" applyBorder="1"/>
    <xf numFmtId="0" fontId="267" fillId="0" borderId="0" xfId="0" applyFont="1" applyBorder="1" applyAlignment="1"/>
    <xf numFmtId="164" fontId="8" fillId="0" borderId="211" xfId="1" applyFont="1" applyBorder="1" applyAlignment="1"/>
    <xf numFmtId="0" fontId="0" fillId="8" borderId="255" xfId="3" applyFont="1" applyFill="1" applyBorder="1"/>
    <xf numFmtId="0" fontId="0" fillId="0" borderId="259" xfId="0" applyFont="1" applyBorder="1"/>
    <xf numFmtId="0" fontId="10" fillId="0" borderId="0" xfId="3" applyFont="1" applyBorder="1" applyAlignment="1">
      <alignment horizontal="center"/>
    </xf>
    <xf numFmtId="0" fontId="10" fillId="0" borderId="0" xfId="3" applyFont="1"/>
    <xf numFmtId="43" fontId="276" fillId="35" borderId="127" xfId="0" applyNumberFormat="1" applyFont="1" applyFill="1" applyBorder="1" applyAlignment="1">
      <alignment horizontal="center"/>
    </xf>
    <xf numFmtId="43" fontId="276" fillId="0" borderId="311" xfId="0" applyNumberFormat="1" applyFont="1" applyBorder="1" applyAlignment="1">
      <alignment horizontal="center"/>
    </xf>
    <xf numFmtId="0" fontId="0" fillId="8" borderId="1" xfId="3" applyFont="1" applyFill="1" applyBorder="1"/>
    <xf numFmtId="0" fontId="0" fillId="8" borderId="260" xfId="3" applyFont="1" applyFill="1" applyBorder="1" applyAlignment="1">
      <alignment horizontal="center"/>
    </xf>
    <xf numFmtId="0" fontId="0" fillId="8" borderId="254" xfId="3" applyFont="1" applyFill="1" applyBorder="1" applyAlignment="1">
      <alignment horizontal="center"/>
    </xf>
    <xf numFmtId="0" fontId="138" fillId="0" borderId="0" xfId="0" applyFont="1" applyAlignment="1">
      <alignment horizontal="center"/>
    </xf>
    <xf numFmtId="49" fontId="150" fillId="0" borderId="0" xfId="0" applyNumberFormat="1" applyFont="1" applyBorder="1" applyAlignment="1">
      <alignment horizontal="center"/>
    </xf>
    <xf numFmtId="43" fontId="169" fillId="0" borderId="0" xfId="1" applyNumberFormat="1" applyFont="1" applyBorder="1" applyAlignment="1">
      <alignment horizontal="center"/>
    </xf>
    <xf numFmtId="43" fontId="164" fillId="0" borderId="0" xfId="1" applyNumberFormat="1" applyFont="1" applyBorder="1" applyAlignment="1">
      <alignment horizontal="center"/>
    </xf>
    <xf numFmtId="0" fontId="154" fillId="0" borderId="8" xfId="0" applyFont="1" applyBorder="1" applyAlignment="1">
      <alignment horizontal="center"/>
    </xf>
    <xf numFmtId="0" fontId="154" fillId="0" borderId="0" xfId="0" applyFont="1" applyBorder="1" applyAlignment="1">
      <alignment horizontal="center"/>
    </xf>
    <xf numFmtId="164" fontId="136" fillId="0" borderId="0" xfId="1" applyFont="1" applyFill="1" applyBorder="1"/>
    <xf numFmtId="43" fontId="138" fillId="0" borderId="0" xfId="0" applyNumberFormat="1" applyFont="1" applyFill="1" applyBorder="1" applyAlignment="1">
      <alignment vertical="center"/>
    </xf>
    <xf numFmtId="43" fontId="136" fillId="0" borderId="0" xfId="0" applyNumberFormat="1" applyFont="1" applyFill="1" applyBorder="1"/>
    <xf numFmtId="43" fontId="148" fillId="0" borderId="0" xfId="0" applyNumberFormat="1" applyFont="1" applyFill="1" applyBorder="1" applyAlignment="1">
      <alignment horizontal="center"/>
    </xf>
    <xf numFmtId="43" fontId="143" fillId="0" borderId="0" xfId="1" applyNumberFormat="1" applyFont="1" applyFill="1" applyBorder="1"/>
    <xf numFmtId="0" fontId="146" fillId="0" borderId="0" xfId="0" applyFont="1" applyFill="1" applyBorder="1"/>
    <xf numFmtId="0" fontId="135" fillId="0" borderId="0" xfId="0" applyFont="1" applyFill="1" applyBorder="1" applyAlignment="1">
      <alignment horizontal="center"/>
    </xf>
    <xf numFmtId="0" fontId="154" fillId="0" borderId="0" xfId="1" applyNumberFormat="1" applyFont="1" applyFill="1" applyBorder="1" applyAlignment="1">
      <alignment horizontal="center"/>
    </xf>
    <xf numFmtId="0" fontId="189" fillId="0" borderId="0" xfId="1" applyNumberFormat="1" applyFont="1" applyFill="1" applyBorder="1" applyAlignment="1">
      <alignment horizontal="center"/>
    </xf>
    <xf numFmtId="49" fontId="138" fillId="0" borderId="0" xfId="1" applyNumberFormat="1" applyFont="1" applyFill="1" applyBorder="1" applyAlignment="1">
      <alignment horizontal="center"/>
    </xf>
    <xf numFmtId="43" fontId="146" fillId="0" borderId="0" xfId="1" applyNumberFormat="1" applyFont="1" applyFill="1" applyBorder="1"/>
    <xf numFmtId="164" fontId="138" fillId="0" borderId="0" xfId="1" applyFont="1" applyFill="1" applyBorder="1" applyAlignment="1"/>
    <xf numFmtId="0" fontId="151" fillId="0" borderId="0" xfId="0" applyFont="1" applyFill="1" applyBorder="1"/>
    <xf numFmtId="43" fontId="161" fillId="0" borderId="0" xfId="0" applyNumberFormat="1" applyFont="1" applyFill="1" applyBorder="1" applyAlignment="1"/>
    <xf numFmtId="43" fontId="138" fillId="0" borderId="0" xfId="0" applyNumberFormat="1" applyFont="1" applyFill="1" applyBorder="1" applyAlignment="1"/>
    <xf numFmtId="43" fontId="138" fillId="0" borderId="0" xfId="0" applyNumberFormat="1" applyFont="1" applyFill="1" applyBorder="1" applyAlignment="1">
      <alignment horizontal="center"/>
    </xf>
    <xf numFmtId="43" fontId="144" fillId="0" borderId="0" xfId="0" applyNumberFormat="1" applyFont="1" applyFill="1" applyBorder="1" applyAlignment="1"/>
    <xf numFmtId="0" fontId="142" fillId="0" borderId="0" xfId="0" applyFont="1" applyFill="1" applyBorder="1" applyAlignment="1">
      <alignment vertical="center"/>
    </xf>
    <xf numFmtId="49" fontId="176" fillId="0" borderId="0" xfId="0" applyNumberFormat="1" applyFont="1" applyFill="1" applyBorder="1" applyAlignment="1">
      <alignment vertical="center"/>
    </xf>
    <xf numFmtId="43" fontId="138" fillId="0" borderId="0" xfId="0" applyNumberFormat="1" applyFont="1" applyFill="1" applyBorder="1" applyAlignment="1">
      <alignment horizontal="left"/>
    </xf>
    <xf numFmtId="1" fontId="176" fillId="0" borderId="0" xfId="0" applyNumberFormat="1" applyFont="1" applyFill="1" applyBorder="1" applyAlignment="1">
      <alignment vertical="center"/>
    </xf>
    <xf numFmtId="0" fontId="181" fillId="0" borderId="0" xfId="0" applyFont="1" applyFill="1" applyBorder="1" applyAlignment="1">
      <alignment horizontal="center" vertical="center"/>
    </xf>
    <xf numFmtId="43" fontId="139" fillId="0" borderId="0" xfId="0" applyNumberFormat="1" applyFont="1" applyFill="1" applyBorder="1"/>
    <xf numFmtId="0" fontId="188" fillId="0" borderId="0" xfId="0" applyFont="1" applyFill="1" applyBorder="1" applyAlignment="1">
      <alignment horizontal="center" vertical="center"/>
    </xf>
    <xf numFmtId="0" fontId="183" fillId="0" borderId="0" xfId="0" applyFont="1" applyFill="1" applyBorder="1" applyAlignment="1">
      <alignment horizontal="center" vertical="center"/>
    </xf>
    <xf numFmtId="43" fontId="152" fillId="0" borderId="0" xfId="1" applyNumberFormat="1" applyFont="1" applyFill="1" applyBorder="1"/>
    <xf numFmtId="43" fontId="164" fillId="0" borderId="0" xfId="1" applyNumberFormat="1" applyFont="1" applyFill="1" applyBorder="1" applyAlignment="1">
      <alignment horizontal="center"/>
    </xf>
    <xf numFmtId="1" fontId="138" fillId="0" borderId="0" xfId="1" applyNumberFormat="1" applyFont="1" applyFill="1" applyBorder="1"/>
    <xf numFmtId="164" fontId="157" fillId="0" borderId="0" xfId="1" applyFont="1" applyFill="1" applyBorder="1" applyAlignment="1"/>
    <xf numFmtId="0" fontId="20" fillId="23" borderId="3" xfId="3" applyFont="1" applyFill="1" applyBorder="1" applyAlignment="1">
      <alignment vertical="center"/>
    </xf>
    <xf numFmtId="0" fontId="107" fillId="23" borderId="3" xfId="3" applyFont="1" applyFill="1" applyBorder="1" applyAlignment="1">
      <alignment vertical="center"/>
    </xf>
    <xf numFmtId="0" fontId="240" fillId="0" borderId="383" xfId="0" applyFont="1" applyBorder="1"/>
    <xf numFmtId="0" fontId="241" fillId="0" borderId="245" xfId="0" applyFont="1" applyBorder="1" applyAlignment="1">
      <alignment horizontal="center"/>
    </xf>
    <xf numFmtId="0" fontId="242" fillId="0" borderId="245" xfId="0" applyFont="1" applyBorder="1" applyAlignment="1">
      <alignment horizontal="left"/>
    </xf>
    <xf numFmtId="0" fontId="242" fillId="0" borderId="245" xfId="0" applyFont="1" applyBorder="1"/>
    <xf numFmtId="0" fontId="241" fillId="0" borderId="78" xfId="0" applyFont="1" applyBorder="1"/>
    <xf numFmtId="0" fontId="244" fillId="0" borderId="78" xfId="0" applyFont="1" applyBorder="1" applyAlignment="1">
      <alignment horizontal="center"/>
    </xf>
    <xf numFmtId="0" fontId="241" fillId="0" borderId="11" xfId="0" applyFont="1" applyBorder="1" applyAlignment="1">
      <alignment horizontal="center"/>
    </xf>
    <xf numFmtId="0" fontId="242" fillId="0" borderId="5" xfId="0" applyFont="1" applyBorder="1" applyAlignment="1">
      <alignment horizontal="left"/>
    </xf>
    <xf numFmtId="43" fontId="256" fillId="0" borderId="0" xfId="0" applyNumberFormat="1" applyFont="1" applyFill="1" applyBorder="1" applyAlignment="1">
      <alignment horizontal="center"/>
    </xf>
    <xf numFmtId="0" fontId="50" fillId="0" borderId="5" xfId="0" applyFont="1" applyBorder="1" applyAlignment="1">
      <alignment horizontal="left"/>
    </xf>
    <xf numFmtId="0" fontId="24" fillId="0" borderId="11" xfId="0" applyFont="1" applyBorder="1" applyAlignment="1">
      <alignment horizontal="center"/>
    </xf>
    <xf numFmtId="0" fontId="50" fillId="0" borderId="355" xfId="0" applyFont="1" applyBorder="1" applyAlignment="1">
      <alignment horizontal="left"/>
    </xf>
    <xf numFmtId="0" fontId="241" fillId="0" borderId="324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11" xfId="0" applyFont="1" applyBorder="1" applyAlignment="1">
      <alignment horizontal="center"/>
    </xf>
    <xf numFmtId="0" fontId="50" fillId="0" borderId="385" xfId="0" applyFont="1" applyBorder="1" applyAlignment="1">
      <alignment horizontal="left"/>
    </xf>
    <xf numFmtId="0" fontId="241" fillId="0" borderId="78" xfId="0" applyFont="1" applyBorder="1" applyAlignment="1">
      <alignment horizontal="center"/>
    </xf>
    <xf numFmtId="0" fontId="242" fillId="0" borderId="175" xfId="0" applyFont="1" applyBorder="1" applyAlignment="1">
      <alignment horizontal="left"/>
    </xf>
    <xf numFmtId="0" fontId="240" fillId="0" borderId="210" xfId="0" applyFont="1" applyBorder="1"/>
    <xf numFmtId="0" fontId="241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262" xfId="0" applyFont="1" applyBorder="1" applyAlignment="1">
      <alignment horizontal="center"/>
    </xf>
    <xf numFmtId="0" fontId="13" fillId="0" borderId="269" xfId="0" applyFont="1" applyBorder="1" applyAlignment="1">
      <alignment horizontal="center"/>
    </xf>
    <xf numFmtId="0" fontId="258" fillId="0" borderId="21" xfId="0" applyFont="1" applyBorder="1" applyAlignment="1">
      <alignment horizontal="center"/>
    </xf>
    <xf numFmtId="0" fontId="65" fillId="0" borderId="21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27" fillId="0" borderId="21" xfId="0" applyFont="1" applyBorder="1" applyAlignment="1">
      <alignment horizontal="left"/>
    </xf>
    <xf numFmtId="0" fontId="10" fillId="0" borderId="391" xfId="0" applyFont="1" applyBorder="1" applyAlignment="1">
      <alignment horizontal="center"/>
    </xf>
    <xf numFmtId="0" fontId="10" fillId="0" borderId="392" xfId="0" applyFont="1" applyBorder="1" applyAlignment="1">
      <alignment horizontal="left"/>
    </xf>
    <xf numFmtId="43" fontId="131" fillId="0" borderId="307" xfId="0" applyNumberFormat="1" applyFont="1" applyFill="1" applyBorder="1" applyAlignment="1">
      <alignment horizontal="center"/>
    </xf>
    <xf numFmtId="0" fontId="278" fillId="0" borderId="395" xfId="0" applyFont="1" applyBorder="1" applyAlignment="1">
      <alignment horizontal="center"/>
    </xf>
    <xf numFmtId="0" fontId="278" fillId="0" borderId="396" xfId="0" applyFont="1" applyBorder="1" applyAlignment="1"/>
    <xf numFmtId="43" fontId="280" fillId="0" borderId="377" xfId="0" applyNumberFormat="1" applyFont="1" applyFill="1" applyBorder="1" applyAlignment="1">
      <alignment horizontal="center"/>
    </xf>
    <xf numFmtId="0" fontId="241" fillId="0" borderId="182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43" fontId="281" fillId="0" borderId="380" xfId="0" applyNumberFormat="1" applyFont="1" applyFill="1" applyBorder="1" applyAlignment="1">
      <alignment horizontal="center"/>
    </xf>
    <xf numFmtId="0" fontId="2" fillId="0" borderId="259" xfId="0" applyFont="1" applyBorder="1" applyAlignment="1">
      <alignment horizontal="center"/>
    </xf>
    <xf numFmtId="0" fontId="50" fillId="0" borderId="1" xfId="0" applyFont="1" applyBorder="1" applyAlignment="1">
      <alignment horizontal="center"/>
    </xf>
    <xf numFmtId="0" fontId="2" fillId="0" borderId="398" xfId="0" applyFont="1" applyBorder="1" applyAlignment="1">
      <alignment horizontal="center"/>
    </xf>
    <xf numFmtId="0" fontId="50" fillId="0" borderId="182" xfId="0" applyFont="1" applyBorder="1" applyAlignment="1">
      <alignment horizontal="center"/>
    </xf>
    <xf numFmtId="0" fontId="2" fillId="0" borderId="399" xfId="0" applyFont="1" applyBorder="1" applyAlignment="1">
      <alignment horizontal="center"/>
    </xf>
    <xf numFmtId="0" fontId="50" fillId="0" borderId="180" xfId="1" applyNumberFormat="1" applyFont="1" applyBorder="1" applyAlignment="1">
      <alignment horizontal="center"/>
    </xf>
    <xf numFmtId="0" fontId="2" fillId="0" borderId="272" xfId="0" applyFont="1" applyBorder="1" applyAlignment="1">
      <alignment horizontal="center"/>
    </xf>
    <xf numFmtId="0" fontId="50" fillId="0" borderId="21" xfId="0" applyFont="1" applyBorder="1" applyAlignment="1">
      <alignment horizontal="center"/>
    </xf>
    <xf numFmtId="0" fontId="278" fillId="0" borderId="401" xfId="0" applyFont="1" applyBorder="1" applyAlignment="1">
      <alignment horizontal="center"/>
    </xf>
    <xf numFmtId="0" fontId="278" fillId="0" borderId="402" xfId="0" applyFont="1" applyBorder="1" applyAlignment="1">
      <alignment horizontal="left"/>
    </xf>
    <xf numFmtId="0" fontId="10" fillId="0" borderId="402" xfId="0" applyFont="1" applyBorder="1" applyAlignment="1">
      <alignment horizontal="left"/>
    </xf>
    <xf numFmtId="0" fontId="10" fillId="0" borderId="401" xfId="0" applyFont="1" applyBorder="1" applyAlignment="1">
      <alignment horizontal="center"/>
    </xf>
    <xf numFmtId="0" fontId="278" fillId="0" borderId="11" xfId="0" applyFont="1" applyBorder="1" applyAlignment="1">
      <alignment horizontal="center"/>
    </xf>
    <xf numFmtId="0" fontId="278" fillId="0" borderId="5" xfId="0" applyFont="1" applyBorder="1" applyAlignment="1">
      <alignment horizontal="left"/>
    </xf>
    <xf numFmtId="43" fontId="281" fillId="0" borderId="377" xfId="0" applyNumberFormat="1" applyFont="1" applyFill="1" applyBorder="1" applyAlignment="1">
      <alignment horizontal="center"/>
    </xf>
    <xf numFmtId="0" fontId="241" fillId="0" borderId="404" xfId="0" applyFont="1" applyBorder="1" applyAlignment="1">
      <alignment horizontal="center"/>
    </xf>
    <xf numFmtId="0" fontId="242" fillId="0" borderId="405" xfId="0" applyFont="1" applyBorder="1" applyAlignment="1">
      <alignment horizontal="left"/>
    </xf>
    <xf numFmtId="0" fontId="50" fillId="0" borderId="11" xfId="0" applyFont="1" applyBorder="1" applyAlignment="1">
      <alignment horizontal="center"/>
    </xf>
    <xf numFmtId="0" fontId="2" fillId="0" borderId="387" xfId="0" applyFont="1" applyBorder="1" applyAlignment="1">
      <alignment horizontal="center"/>
    </xf>
    <xf numFmtId="0" fontId="50" fillId="0" borderId="10" xfId="0" applyFont="1" applyBorder="1" applyAlignment="1">
      <alignment horizontal="center"/>
    </xf>
    <xf numFmtId="43" fontId="256" fillId="0" borderId="10" xfId="0" applyNumberFormat="1" applyFont="1" applyFill="1" applyBorder="1" applyAlignment="1">
      <alignment horizontal="center"/>
    </xf>
    <xf numFmtId="0" fontId="241" fillId="0" borderId="408" xfId="0" applyFont="1" applyBorder="1" applyAlignment="1">
      <alignment horizontal="center"/>
    </xf>
    <xf numFmtId="0" fontId="242" fillId="0" borderId="408" xfId="0" applyFont="1" applyBorder="1" applyAlignment="1">
      <alignment horizontal="left"/>
    </xf>
    <xf numFmtId="0" fontId="50" fillId="0" borderId="184" xfId="0" applyFont="1" applyBorder="1" applyAlignment="1">
      <alignment horizontal="left"/>
    </xf>
    <xf numFmtId="0" fontId="241" fillId="0" borderId="210" xfId="0" applyFont="1" applyBorder="1"/>
    <xf numFmtId="43" fontId="280" fillId="0" borderId="380" xfId="0" applyNumberFormat="1" applyFont="1" applyFill="1" applyBorder="1" applyAlignment="1">
      <alignment horizontal="center"/>
    </xf>
    <xf numFmtId="0" fontId="2" fillId="0" borderId="410" xfId="0" applyFont="1" applyBorder="1" applyAlignment="1">
      <alignment horizontal="center"/>
    </xf>
    <xf numFmtId="0" fontId="50" fillId="0" borderId="411" xfId="1" applyNumberFormat="1" applyFont="1" applyBorder="1" applyAlignment="1">
      <alignment horizontal="center"/>
    </xf>
    <xf numFmtId="0" fontId="50" fillId="0" borderId="411" xfId="1" applyNumberFormat="1" applyFont="1" applyBorder="1" applyAlignment="1">
      <alignment horizontal="left"/>
    </xf>
    <xf numFmtId="43" fontId="252" fillId="0" borderId="411" xfId="0" applyNumberFormat="1" applyFont="1" applyBorder="1" applyAlignment="1">
      <alignment horizontal="center"/>
    </xf>
    <xf numFmtId="0" fontId="2" fillId="0" borderId="374" xfId="0" applyFont="1" applyBorder="1" applyAlignment="1">
      <alignment horizontal="center"/>
    </xf>
    <xf numFmtId="0" fontId="241" fillId="0" borderId="414" xfId="0" applyFont="1" applyBorder="1" applyAlignment="1">
      <alignment horizontal="center"/>
    </xf>
    <xf numFmtId="0" fontId="242" fillId="0" borderId="414" xfId="0" applyFont="1" applyBorder="1" applyAlignment="1">
      <alignment horizontal="left"/>
    </xf>
    <xf numFmtId="0" fontId="241" fillId="0" borderId="411" xfId="0" applyFont="1" applyBorder="1" applyAlignment="1">
      <alignment horizontal="center"/>
    </xf>
    <xf numFmtId="0" fontId="242" fillId="0" borderId="416" xfId="0" applyFont="1" applyBorder="1" applyAlignment="1">
      <alignment horizontal="left"/>
    </xf>
    <xf numFmtId="0" fontId="258" fillId="0" borderId="11" xfId="0" applyFont="1" applyBorder="1" applyAlignment="1">
      <alignment horizontal="center"/>
    </xf>
    <xf numFmtId="0" fontId="285" fillId="0" borderId="11" xfId="0" applyFont="1" applyBorder="1" applyAlignment="1">
      <alignment horizontal="center"/>
    </xf>
    <xf numFmtId="0" fontId="77" fillId="0" borderId="5" xfId="0" applyFont="1" applyBorder="1" applyAlignment="1">
      <alignment horizontal="left"/>
    </xf>
    <xf numFmtId="43" fontId="256" fillId="0" borderId="6" xfId="0" applyNumberFormat="1" applyFont="1" applyFill="1" applyBorder="1" applyAlignment="1">
      <alignment horizontal="center"/>
    </xf>
    <xf numFmtId="0" fontId="278" fillId="0" borderId="423" xfId="0" applyFont="1" applyBorder="1" applyAlignment="1">
      <alignment horizontal="center"/>
    </xf>
    <xf numFmtId="0" fontId="278" fillId="0" borderId="424" xfId="0" applyFont="1" applyBorder="1" applyAlignment="1">
      <alignment horizontal="left"/>
    </xf>
    <xf numFmtId="44" fontId="26" fillId="2" borderId="269" xfId="0" applyNumberFormat="1" applyFont="1" applyFill="1" applyBorder="1" applyAlignment="1">
      <alignment horizontal="center"/>
    </xf>
    <xf numFmtId="0" fontId="50" fillId="0" borderId="355" xfId="0" applyFont="1" applyBorder="1" applyAlignment="1">
      <alignment horizontal="center"/>
    </xf>
    <xf numFmtId="43" fontId="246" fillId="0" borderId="355" xfId="0" applyNumberFormat="1" applyFont="1" applyBorder="1" applyAlignment="1">
      <alignment horizontal="center"/>
    </xf>
    <xf numFmtId="0" fontId="278" fillId="0" borderId="423" xfId="0" applyFont="1" applyBorder="1" applyAlignment="1"/>
    <xf numFmtId="0" fontId="278" fillId="0" borderId="423" xfId="0" applyFont="1" applyBorder="1" applyAlignment="1">
      <alignment horizontal="left"/>
    </xf>
    <xf numFmtId="0" fontId="278" fillId="0" borderId="11" xfId="0" applyFont="1" applyBorder="1" applyAlignment="1">
      <alignment horizontal="left"/>
    </xf>
    <xf numFmtId="0" fontId="68" fillId="0" borderId="269" xfId="0" applyFont="1" applyBorder="1" applyAlignment="1">
      <alignment horizontal="center"/>
    </xf>
    <xf numFmtId="44" fontId="131" fillId="0" borderId="426" xfId="0" applyNumberFormat="1" applyFont="1" applyBorder="1" applyAlignment="1">
      <alignment horizontal="center"/>
    </xf>
    <xf numFmtId="0" fontId="10" fillId="0" borderId="272" xfId="0" applyFont="1" applyBorder="1" applyAlignment="1">
      <alignment horizontal="center"/>
    </xf>
    <xf numFmtId="43" fontId="131" fillId="0" borderId="308" xfId="0" applyNumberFormat="1" applyFont="1" applyFill="1" applyBorder="1"/>
    <xf numFmtId="0" fontId="241" fillId="0" borderId="269" xfId="0" applyFont="1" applyBorder="1" applyAlignment="1">
      <alignment horizontal="center"/>
    </xf>
    <xf numFmtId="0" fontId="279" fillId="0" borderId="7" xfId="0" applyFont="1" applyBorder="1" applyAlignment="1">
      <alignment horizontal="left"/>
    </xf>
    <xf numFmtId="0" fontId="10" fillId="0" borderId="391" xfId="0" applyFont="1" applyBorder="1" applyAlignment="1">
      <alignment horizontal="left"/>
    </xf>
    <xf numFmtId="0" fontId="279" fillId="0" borderId="11" xfId="0" applyFont="1" applyBorder="1" applyAlignment="1">
      <alignment horizontal="center"/>
    </xf>
    <xf numFmtId="0" fontId="279" fillId="0" borderId="11" xfId="0" applyFont="1" applyBorder="1" applyAlignment="1">
      <alignment horizontal="left"/>
    </xf>
    <xf numFmtId="0" fontId="24" fillId="0" borderId="11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286" fillId="0" borderId="0" xfId="0" applyFont="1"/>
    <xf numFmtId="43" fontId="131" fillId="0" borderId="308" xfId="0" applyNumberFormat="1" applyFont="1" applyFill="1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50" fillId="0" borderId="0" xfId="0" applyFont="1"/>
    <xf numFmtId="0" fontId="50" fillId="0" borderId="21" xfId="0" applyFont="1" applyBorder="1"/>
    <xf numFmtId="0" fontId="65" fillId="0" borderId="1" xfId="0" applyFont="1" applyBorder="1" applyAlignment="1">
      <alignment horizontal="center"/>
    </xf>
    <xf numFmtId="0" fontId="65" fillId="0" borderId="355" xfId="0" applyFont="1" applyBorder="1" applyAlignment="1">
      <alignment horizontal="center"/>
    </xf>
    <xf numFmtId="0" fontId="65" fillId="0" borderId="10" xfId="0" applyFont="1" applyBorder="1" applyAlignment="1">
      <alignment horizontal="center"/>
    </xf>
    <xf numFmtId="0" fontId="65" fillId="0" borderId="1" xfId="0" applyFont="1" applyFill="1" applyBorder="1" applyAlignment="1">
      <alignment horizontal="center"/>
    </xf>
    <xf numFmtId="0" fontId="50" fillId="0" borderId="369" xfId="0" applyFont="1" applyBorder="1"/>
    <xf numFmtId="0" fontId="50" fillId="0" borderId="8" xfId="0" applyFont="1" applyBorder="1"/>
    <xf numFmtId="0" fontId="50" fillId="0" borderId="0" xfId="0" applyFont="1" applyFill="1"/>
    <xf numFmtId="0" fontId="2" fillId="0" borderId="57" xfId="0" applyFont="1" applyFill="1" applyBorder="1" applyAlignment="1">
      <alignment horizontal="center" vertical="center" wrapText="1"/>
    </xf>
    <xf numFmtId="0" fontId="2" fillId="0" borderId="87" xfId="0" applyFont="1" applyFill="1" applyBorder="1" applyAlignment="1">
      <alignment horizontal="center" vertical="center" wrapText="1"/>
    </xf>
    <xf numFmtId="0" fontId="65" fillId="0" borderId="21" xfId="0" applyFont="1" applyBorder="1" applyAlignment="1"/>
    <xf numFmtId="0" fontId="50" fillId="0" borderId="10" xfId="0" applyFont="1" applyBorder="1"/>
    <xf numFmtId="0" fontId="2" fillId="0" borderId="176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50" fillId="0" borderId="324" xfId="0" applyFont="1" applyBorder="1" applyAlignment="1">
      <alignment horizontal="center"/>
    </xf>
    <xf numFmtId="43" fontId="282" fillId="0" borderId="375" xfId="0" applyNumberFormat="1" applyFont="1" applyBorder="1"/>
    <xf numFmtId="0" fontId="50" fillId="0" borderId="411" xfId="0" applyFont="1" applyBorder="1" applyAlignment="1">
      <alignment horizontal="center"/>
    </xf>
    <xf numFmtId="0" fontId="247" fillId="0" borderId="411" xfId="0" applyFont="1" applyBorder="1" applyAlignment="1">
      <alignment horizontal="left"/>
    </xf>
    <xf numFmtId="0" fontId="279" fillId="0" borderId="182" xfId="0" applyFont="1" applyBorder="1" applyAlignment="1">
      <alignment horizontal="center"/>
    </xf>
    <xf numFmtId="0" fontId="279" fillId="0" borderId="437" xfId="0" applyFont="1" applyBorder="1" applyAlignment="1">
      <alignment horizontal="center"/>
    </xf>
    <xf numFmtId="0" fontId="258" fillId="0" borderId="437" xfId="0" applyFont="1" applyBorder="1" applyAlignment="1">
      <alignment horizontal="left"/>
    </xf>
    <xf numFmtId="43" fontId="261" fillId="0" borderId="436" xfId="0" applyNumberFormat="1" applyFont="1" applyBorder="1"/>
    <xf numFmtId="0" fontId="24" fillId="0" borderId="324" xfId="0" applyFont="1" applyBorder="1" applyAlignment="1">
      <alignment horizontal="left"/>
    </xf>
    <xf numFmtId="0" fontId="76" fillId="0" borderId="10" xfId="0" applyFont="1" applyBorder="1" applyAlignment="1">
      <alignment horizontal="left"/>
    </xf>
    <xf numFmtId="0" fontId="65" fillId="0" borderId="11" xfId="0" applyFont="1" applyBorder="1" applyAlignment="1">
      <alignment horizontal="center"/>
    </xf>
    <xf numFmtId="0" fontId="76" fillId="0" borderId="11" xfId="0" applyFont="1" applyBorder="1" applyAlignment="1">
      <alignment horizontal="left"/>
    </xf>
    <xf numFmtId="0" fontId="76" fillId="0" borderId="21" xfId="0" applyFont="1" applyBorder="1" applyAlignment="1">
      <alignment horizontal="left"/>
    </xf>
    <xf numFmtId="0" fontId="50" fillId="0" borderId="1" xfId="0" applyFont="1" applyBorder="1"/>
    <xf numFmtId="0" fontId="50" fillId="0" borderId="21" xfId="0" applyFont="1" applyBorder="1" applyAlignment="1">
      <alignment horizontal="left"/>
    </xf>
    <xf numFmtId="0" fontId="250" fillId="0" borderId="355" xfId="1" applyNumberFormat="1" applyFont="1" applyBorder="1" applyAlignment="1">
      <alignment horizontal="left" vertical="center" wrapText="1"/>
    </xf>
    <xf numFmtId="3" fontId="32" fillId="0" borderId="21" xfId="0" applyNumberFormat="1" applyFont="1" applyBorder="1" applyAlignment="1">
      <alignment horizontal="center"/>
    </xf>
    <xf numFmtId="0" fontId="260" fillId="0" borderId="21" xfId="0" applyFont="1" applyBorder="1" applyAlignment="1">
      <alignment horizontal="left"/>
    </xf>
    <xf numFmtId="0" fontId="2" fillId="0" borderId="355" xfId="0" applyFont="1" applyBorder="1" applyAlignment="1">
      <alignment horizontal="center"/>
    </xf>
    <xf numFmtId="3" fontId="32" fillId="0" borderId="355" xfId="0" applyNumberFormat="1" applyFont="1" applyBorder="1" applyAlignment="1">
      <alignment horizontal="center"/>
    </xf>
    <xf numFmtId="0" fontId="24" fillId="0" borderId="355" xfId="0" applyFont="1" applyBorder="1" applyAlignment="1">
      <alignment horizontal="left"/>
    </xf>
    <xf numFmtId="0" fontId="247" fillId="0" borderId="21" xfId="0" applyFont="1" applyBorder="1" applyAlignment="1">
      <alignment horizontal="left"/>
    </xf>
    <xf numFmtId="43" fontId="246" fillId="0" borderId="375" xfId="0" applyNumberFormat="1" applyFont="1" applyFill="1" applyBorder="1"/>
    <xf numFmtId="0" fontId="247" fillId="0" borderId="355" xfId="0" applyFont="1" applyBorder="1" applyAlignment="1">
      <alignment horizontal="left"/>
    </xf>
    <xf numFmtId="0" fontId="278" fillId="0" borderId="21" xfId="0" applyFont="1" applyBorder="1" applyAlignment="1">
      <alignment horizontal="center"/>
    </xf>
    <xf numFmtId="0" fontId="278" fillId="0" borderId="21" xfId="0" applyFont="1" applyBorder="1" applyAlignment="1">
      <alignment horizontal="left"/>
    </xf>
    <xf numFmtId="0" fontId="248" fillId="0" borderId="324" xfId="0" applyFont="1" applyBorder="1" applyAlignment="1">
      <alignment horizontal="center"/>
    </xf>
    <xf numFmtId="0" fontId="10" fillId="0" borderId="401" xfId="0" applyFont="1" applyBorder="1" applyAlignment="1">
      <alignment horizontal="left"/>
    </xf>
    <xf numFmtId="0" fontId="279" fillId="0" borderId="182" xfId="0" applyFont="1" applyBorder="1" applyAlignment="1">
      <alignment horizontal="left"/>
    </xf>
    <xf numFmtId="0" fontId="65" fillId="0" borderId="324" xfId="0" applyFont="1" applyBorder="1" applyAlignment="1">
      <alignment horizontal="center"/>
    </xf>
    <xf numFmtId="0" fontId="259" fillId="0" borderId="385" xfId="0" applyFont="1" applyBorder="1" applyAlignment="1">
      <alignment horizontal="left"/>
    </xf>
    <xf numFmtId="0" fontId="65" fillId="0" borderId="245" xfId="0" applyFont="1" applyBorder="1" applyAlignment="1">
      <alignment horizontal="center"/>
    </xf>
    <xf numFmtId="0" fontId="249" fillId="0" borderId="245" xfId="0" applyFont="1" applyBorder="1" applyAlignment="1">
      <alignment horizontal="left"/>
    </xf>
    <xf numFmtId="0" fontId="50" fillId="0" borderId="269" xfId="0" applyFont="1" applyBorder="1" applyAlignment="1">
      <alignment horizontal="center"/>
    </xf>
    <xf numFmtId="0" fontId="258" fillId="0" borderId="269" xfId="0" applyFont="1" applyBorder="1" applyAlignment="1">
      <alignment horizontal="left"/>
    </xf>
    <xf numFmtId="43" fontId="246" fillId="0" borderId="442" xfId="0" applyNumberFormat="1" applyFont="1" applyBorder="1"/>
    <xf numFmtId="43" fontId="26" fillId="2" borderId="375" xfId="0" applyNumberFormat="1" applyFont="1" applyFill="1" applyBorder="1"/>
    <xf numFmtId="43" fontId="282" fillId="0" borderId="378" xfId="0" applyNumberFormat="1" applyFont="1" applyBorder="1"/>
    <xf numFmtId="43" fontId="282" fillId="0" borderId="435" xfId="0" applyNumberFormat="1" applyFont="1" applyBorder="1"/>
    <xf numFmtId="0" fontId="10" fillId="0" borderId="11" xfId="0" applyFont="1" applyBorder="1" applyAlignment="1">
      <alignment horizontal="left"/>
    </xf>
    <xf numFmtId="0" fontId="258" fillId="0" borderId="298" xfId="0" applyFont="1" applyBorder="1" applyAlignment="1">
      <alignment horizontal="center"/>
    </xf>
    <xf numFmtId="43" fontId="256" fillId="38" borderId="40" xfId="0" applyNumberFormat="1" applyFont="1" applyFill="1" applyBorder="1"/>
    <xf numFmtId="43" fontId="134" fillId="38" borderId="78" xfId="0" applyNumberFormat="1" applyFont="1" applyFill="1" applyBorder="1" applyAlignment="1">
      <alignment horizontal="center"/>
    </xf>
    <xf numFmtId="43" fontId="134" fillId="38" borderId="269" xfId="0" applyNumberFormat="1" applyFont="1" applyFill="1" applyBorder="1" applyAlignment="1">
      <alignment horizontal="center"/>
    </xf>
    <xf numFmtId="0" fontId="132" fillId="0" borderId="269" xfId="0" applyFont="1" applyBorder="1" applyAlignment="1">
      <alignment horizontal="right"/>
    </xf>
    <xf numFmtId="0" fontId="132" fillId="0" borderId="78" xfId="0" applyFont="1" applyBorder="1" applyAlignment="1">
      <alignment horizontal="right"/>
    </xf>
    <xf numFmtId="0" fontId="50" fillId="0" borderId="440" xfId="0" applyFont="1" applyBorder="1" applyAlignment="1">
      <alignment horizontal="right"/>
    </xf>
    <xf numFmtId="0" fontId="242" fillId="0" borderId="1" xfId="0" applyFont="1" applyBorder="1" applyAlignment="1">
      <alignment horizontal="right"/>
    </xf>
    <xf numFmtId="0" fontId="242" fillId="38" borderId="0" xfId="0" applyFont="1" applyFill="1"/>
    <xf numFmtId="0" fontId="50" fillId="0" borderId="1" xfId="0" applyFont="1" applyBorder="1" applyAlignment="1">
      <alignment horizontal="right"/>
    </xf>
    <xf numFmtId="43" fontId="252" fillId="38" borderId="21" xfId="0" applyNumberFormat="1" applyFont="1" applyFill="1" applyBorder="1" applyAlignment="1">
      <alignment horizontal="center"/>
    </xf>
    <xf numFmtId="43" fontId="134" fillId="38" borderId="1" xfId="0" applyNumberFormat="1" applyFont="1" applyFill="1" applyBorder="1" applyAlignment="1">
      <alignment horizontal="center"/>
    </xf>
    <xf numFmtId="43" fontId="256" fillId="38" borderId="21" xfId="0" applyNumberFormat="1" applyFont="1" applyFill="1" applyBorder="1" applyAlignment="1">
      <alignment horizontal="center"/>
    </xf>
    <xf numFmtId="43" fontId="246" fillId="38" borderId="21" xfId="0" applyNumberFormat="1" applyFont="1" applyFill="1" applyBorder="1" applyAlignment="1">
      <alignment horizontal="center"/>
    </xf>
    <xf numFmtId="43" fontId="246" fillId="38" borderId="1" xfId="0" applyNumberFormat="1" applyFont="1" applyFill="1" applyBorder="1" applyAlignment="1">
      <alignment horizontal="center"/>
    </xf>
    <xf numFmtId="43" fontId="256" fillId="38" borderId="180" xfId="0" applyNumberFormat="1" applyFont="1" applyFill="1" applyBorder="1" applyAlignment="1">
      <alignment horizontal="center"/>
    </xf>
    <xf numFmtId="0" fontId="76" fillId="0" borderId="269" xfId="0" applyFont="1" applyBorder="1" applyAlignment="1">
      <alignment horizontal="right"/>
    </xf>
    <xf numFmtId="0" fontId="246" fillId="38" borderId="78" xfId="0" applyFont="1" applyFill="1" applyBorder="1" applyAlignment="1">
      <alignment horizontal="center"/>
    </xf>
    <xf numFmtId="0" fontId="278" fillId="0" borderId="385" xfId="0" applyFont="1" applyBorder="1" applyAlignment="1">
      <alignment horizontal="right"/>
    </xf>
    <xf numFmtId="43" fontId="134" fillId="9" borderId="439" xfId="0" applyNumberFormat="1" applyFont="1" applyFill="1" applyBorder="1" applyAlignment="1">
      <alignment horizontal="center" vertical="center"/>
    </xf>
    <xf numFmtId="0" fontId="76" fillId="0" borderId="1" xfId="0" applyFont="1" applyBorder="1" applyAlignment="1">
      <alignment horizontal="right"/>
    </xf>
    <xf numFmtId="0" fontId="76" fillId="0" borderId="355" xfId="0" applyFont="1" applyBorder="1" applyAlignment="1">
      <alignment horizontal="right"/>
    </xf>
    <xf numFmtId="43" fontId="256" fillId="9" borderId="262" xfId="0" applyNumberFormat="1" applyFont="1" applyFill="1" applyBorder="1"/>
    <xf numFmtId="0" fontId="2" fillId="0" borderId="1" xfId="0" applyFont="1" applyBorder="1" applyAlignment="1">
      <alignment horizontal="left"/>
    </xf>
    <xf numFmtId="43" fontId="256" fillId="9" borderId="431" xfId="0" applyNumberFormat="1" applyFont="1" applyFill="1" applyBorder="1"/>
    <xf numFmtId="170" fontId="138" fillId="0" borderId="0" xfId="0" applyNumberFormat="1" applyFont="1" applyBorder="1" applyAlignment="1">
      <alignment horizontal="center"/>
    </xf>
    <xf numFmtId="1" fontId="173" fillId="0" borderId="48" xfId="0" applyNumberFormat="1" applyFont="1" applyBorder="1" applyAlignment="1">
      <alignment horizontal="center"/>
    </xf>
    <xf numFmtId="43" fontId="146" fillId="0" borderId="39" xfId="1" applyNumberFormat="1" applyFont="1" applyBorder="1" applyAlignment="1">
      <alignment horizontal="center"/>
    </xf>
    <xf numFmtId="0" fontId="179" fillId="0" borderId="51" xfId="0" applyFont="1" applyFill="1" applyBorder="1" applyAlignment="1">
      <alignment vertical="center"/>
    </xf>
    <xf numFmtId="49" fontId="161" fillId="0" borderId="38" xfId="0" applyNumberFormat="1" applyFont="1" applyFill="1" applyBorder="1" applyAlignment="1">
      <alignment vertical="center"/>
    </xf>
    <xf numFmtId="0" fontId="179" fillId="0" borderId="0" xfId="0" applyFont="1" applyFill="1" applyBorder="1" applyAlignment="1">
      <alignment vertical="center"/>
    </xf>
    <xf numFmtId="49" fontId="161" fillId="0" borderId="0" xfId="0" applyNumberFormat="1" applyFont="1" applyFill="1" applyBorder="1" applyAlignment="1">
      <alignment vertical="center"/>
    </xf>
    <xf numFmtId="0" fontId="25" fillId="0" borderId="129" xfId="0" applyFont="1" applyBorder="1"/>
    <xf numFmtId="0" fontId="25" fillId="0" borderId="17" xfId="0" applyFont="1" applyBorder="1"/>
    <xf numFmtId="0" fontId="134" fillId="0" borderId="0" xfId="0" applyFont="1" applyBorder="1" applyAlignment="1">
      <alignment horizontal="left"/>
    </xf>
    <xf numFmtId="0" fontId="27" fillId="0" borderId="0" xfId="0" applyFont="1" applyBorder="1" applyAlignment="1">
      <alignment horizontal="left"/>
    </xf>
    <xf numFmtId="43" fontId="108" fillId="0" borderId="60" xfId="1" quotePrefix="1" applyNumberFormat="1" applyFont="1" applyBorder="1"/>
    <xf numFmtId="43" fontId="287" fillId="0" borderId="380" xfId="0" applyNumberFormat="1" applyFont="1" applyFill="1" applyBorder="1" applyAlignment="1">
      <alignment horizontal="center"/>
    </xf>
    <xf numFmtId="0" fontId="288" fillId="0" borderId="272" xfId="0" applyFont="1" applyBorder="1" applyAlignment="1">
      <alignment horizontal="center"/>
    </xf>
    <xf numFmtId="0" fontId="288" fillId="0" borderId="386" xfId="0" applyFont="1" applyBorder="1" applyAlignment="1">
      <alignment horizontal="center"/>
    </xf>
    <xf numFmtId="0" fontId="3" fillId="5" borderId="1" xfId="3" applyFont="1" applyFill="1" applyBorder="1" applyAlignment="1">
      <alignment horizontal="left"/>
    </xf>
    <xf numFmtId="44" fontId="79" fillId="7" borderId="329" xfId="3" applyNumberFormat="1" applyFont="1" applyFill="1" applyBorder="1" applyAlignment="1"/>
    <xf numFmtId="1" fontId="29" fillId="7" borderId="6" xfId="3" applyNumberFormat="1" applyFont="1" applyFill="1" applyBorder="1" applyAlignment="1">
      <alignment horizontal="center"/>
    </xf>
    <xf numFmtId="1" fontId="9" fillId="0" borderId="0" xfId="3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43" fontId="155" fillId="0" borderId="0" xfId="0" applyNumberFormat="1" applyFont="1" applyAlignment="1">
      <alignment horizontal="center"/>
    </xf>
    <xf numFmtId="0" fontId="142" fillId="0" borderId="0" xfId="0" applyFont="1" applyBorder="1" applyAlignment="1">
      <alignment horizontal="center"/>
    </xf>
    <xf numFmtId="0" fontId="155" fillId="0" borderId="0" xfId="0" applyFont="1" applyBorder="1" applyAlignment="1">
      <alignment horizontal="center"/>
    </xf>
    <xf numFmtId="0" fontId="138" fillId="0" borderId="0" xfId="0" applyFont="1" applyFill="1" applyBorder="1" applyAlignment="1">
      <alignment horizontal="center"/>
    </xf>
    <xf numFmtId="43" fontId="138" fillId="0" borderId="0" xfId="0" applyNumberFormat="1" applyFont="1" applyFill="1" applyBorder="1" applyAlignment="1">
      <alignment horizontal="center"/>
    </xf>
    <xf numFmtId="49" fontId="139" fillId="0" borderId="0" xfId="1" applyNumberFormat="1" applyFont="1" applyBorder="1" applyAlignment="1">
      <alignment horizontal="center"/>
    </xf>
    <xf numFmtId="0" fontId="0" fillId="0" borderId="12" xfId="3" quotePrefix="1" applyFont="1" applyBorder="1" applyAlignment="1">
      <alignment horizontal="center"/>
    </xf>
    <xf numFmtId="43" fontId="148" fillId="0" borderId="127" xfId="0" quotePrefix="1" applyNumberFormat="1" applyFont="1" applyBorder="1" applyAlignment="1">
      <alignment horizontal="center"/>
    </xf>
    <xf numFmtId="43" fontId="148" fillId="0" borderId="330" xfId="0" quotePrefix="1" applyNumberFormat="1" applyFont="1" applyBorder="1" applyAlignment="1"/>
    <xf numFmtId="43" fontId="148" fillId="0" borderId="330" xfId="0" quotePrefix="1" applyNumberFormat="1" applyFont="1" applyBorder="1" applyAlignment="1">
      <alignment horizontal="center"/>
    </xf>
    <xf numFmtId="43" fontId="148" fillId="0" borderId="190" xfId="0" quotePrefix="1" applyNumberFormat="1" applyFont="1" applyBorder="1" applyAlignment="1">
      <alignment horizontal="center"/>
    </xf>
    <xf numFmtId="43" fontId="139" fillId="0" borderId="0" xfId="0" applyNumberFormat="1" applyFont="1" applyFill="1" applyBorder="1" applyAlignment="1"/>
    <xf numFmtId="43" fontId="186" fillId="0" borderId="0" xfId="0" applyNumberFormat="1" applyFont="1" applyFill="1" applyBorder="1" applyAlignment="1"/>
    <xf numFmtId="43" fontId="155" fillId="0" borderId="0" xfId="0" applyNumberFormat="1" applyFont="1" applyFill="1" applyBorder="1" applyAlignment="1"/>
    <xf numFmtId="0" fontId="155" fillId="0" borderId="0" xfId="0" applyFont="1" applyBorder="1" applyAlignment="1"/>
    <xf numFmtId="164" fontId="2" fillId="0" borderId="0" xfId="1" applyFont="1" applyBorder="1"/>
    <xf numFmtId="164" fontId="157" fillId="0" borderId="0" xfId="1" applyFont="1" applyBorder="1" applyAlignment="1"/>
    <xf numFmtId="0" fontId="124" fillId="0" borderId="0" xfId="0" applyFont="1" applyBorder="1" applyAlignment="1">
      <alignment horizontal="center" vertical="center"/>
    </xf>
    <xf numFmtId="0" fontId="124" fillId="0" borderId="0" xfId="0" applyFont="1" applyBorder="1" applyAlignment="1">
      <alignment horizontal="center"/>
    </xf>
    <xf numFmtId="0" fontId="32" fillId="0" borderId="0" xfId="0" applyFont="1" applyBorder="1"/>
    <xf numFmtId="0" fontId="60" fillId="0" borderId="0" xfId="0" applyFont="1" applyBorder="1" applyAlignment="1">
      <alignment horizontal="center"/>
    </xf>
    <xf numFmtId="164" fontId="32" fillId="0" borderId="0" xfId="1" applyFont="1" applyBorder="1"/>
    <xf numFmtId="0" fontId="32" fillId="5" borderId="1" xfId="3" applyFont="1" applyFill="1" applyBorder="1" applyAlignment="1">
      <alignment horizontal="left" vertical="center"/>
    </xf>
    <xf numFmtId="0" fontId="32" fillId="0" borderId="427" xfId="0" applyFont="1" applyBorder="1" applyAlignment="1">
      <alignment horizontal="left" vertical="center"/>
    </xf>
    <xf numFmtId="49" fontId="32" fillId="0" borderId="0" xfId="1" applyNumberFormat="1" applyFont="1" applyBorder="1"/>
    <xf numFmtId="49" fontId="60" fillId="0" borderId="210" xfId="1" applyNumberFormat="1" applyFont="1" applyBorder="1" applyAlignment="1">
      <alignment horizontal="center"/>
    </xf>
    <xf numFmtId="0" fontId="32" fillId="0" borderId="0" xfId="0" applyFont="1"/>
    <xf numFmtId="0" fontId="60" fillId="0" borderId="0" xfId="0" applyFont="1"/>
    <xf numFmtId="0" fontId="32" fillId="0" borderId="218" xfId="0" applyFont="1" applyBorder="1"/>
    <xf numFmtId="0" fontId="60" fillId="0" borderId="221" xfId="0" applyFont="1" applyBorder="1"/>
    <xf numFmtId="164" fontId="60" fillId="0" borderId="38" xfId="1" applyFont="1" applyBorder="1"/>
    <xf numFmtId="0" fontId="60" fillId="0" borderId="0" xfId="0" applyFont="1" applyAlignment="1">
      <alignment horizontal="center" vertical="center"/>
    </xf>
    <xf numFmtId="164" fontId="32" fillId="0" borderId="0" xfId="1" applyFont="1" applyFill="1" applyBorder="1"/>
    <xf numFmtId="43" fontId="143" fillId="0" borderId="10" xfId="1" applyNumberFormat="1" applyFont="1" applyBorder="1" applyAlignment="1">
      <alignment horizontal="center"/>
    </xf>
    <xf numFmtId="43" fontId="32" fillId="0" borderId="10" xfId="1" applyNumberFormat="1" applyFont="1" applyBorder="1" applyAlignment="1">
      <alignment horizontal="center"/>
    </xf>
    <xf numFmtId="43" fontId="140" fillId="0" borderId="0" xfId="0" applyNumberFormat="1" applyFont="1" applyBorder="1" applyAlignment="1">
      <alignment horizontal="center"/>
    </xf>
    <xf numFmtId="49" fontId="32" fillId="0" borderId="210" xfId="1" applyNumberFormat="1" applyFont="1" applyBorder="1" applyAlignment="1">
      <alignment horizontal="center"/>
    </xf>
    <xf numFmtId="43" fontId="143" fillId="0" borderId="324" xfId="1" applyNumberFormat="1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32" fillId="0" borderId="38" xfId="0" applyFont="1" applyBorder="1"/>
    <xf numFmtId="164" fontId="32" fillId="0" borderId="38" xfId="1" applyFont="1" applyBorder="1"/>
    <xf numFmtId="164" fontId="32" fillId="0" borderId="213" xfId="1" applyFont="1" applyBorder="1" applyAlignment="1">
      <alignment horizontal="center"/>
    </xf>
    <xf numFmtId="0" fontId="140" fillId="0" borderId="187" xfId="0" applyFont="1" applyBorder="1" applyAlignment="1"/>
    <xf numFmtId="0" fontId="140" fillId="0" borderId="220" xfId="0" applyFont="1" applyBorder="1" applyAlignment="1"/>
    <xf numFmtId="0" fontId="32" fillId="0" borderId="221" xfId="0" applyFont="1" applyBorder="1"/>
    <xf numFmtId="43" fontId="32" fillId="0" borderId="0" xfId="0" applyNumberFormat="1" applyFont="1"/>
    <xf numFmtId="0" fontId="32" fillId="0" borderId="0" xfId="0" applyFont="1" applyAlignment="1">
      <alignment horizontal="right"/>
    </xf>
    <xf numFmtId="0" fontId="32" fillId="0" borderId="45" xfId="0" applyFont="1" applyBorder="1" applyAlignment="1">
      <alignment horizontal="center"/>
    </xf>
    <xf numFmtId="0" fontId="32" fillId="0" borderId="0" xfId="0" applyFont="1" applyFill="1" applyBorder="1"/>
    <xf numFmtId="164" fontId="140" fillId="0" borderId="0" xfId="1" applyFont="1" applyFill="1" applyBorder="1" applyAlignment="1"/>
    <xf numFmtId="0" fontId="140" fillId="0" borderId="187" xfId="0" applyFont="1" applyBorder="1" applyAlignment="1">
      <alignment horizontal="center"/>
    </xf>
    <xf numFmtId="0" fontId="32" fillId="0" borderId="46" xfId="1" applyNumberFormat="1" applyFont="1" applyBorder="1" applyAlignment="1">
      <alignment horizontal="center"/>
    </xf>
    <xf numFmtId="164" fontId="32" fillId="0" borderId="226" xfId="1" applyFont="1" applyBorder="1"/>
    <xf numFmtId="164" fontId="25" fillId="0" borderId="59" xfId="1" applyFont="1" applyFill="1" applyBorder="1"/>
    <xf numFmtId="0" fontId="14" fillId="0" borderId="59" xfId="0" applyFont="1" applyFill="1" applyBorder="1" applyAlignment="1">
      <alignment horizontal="center"/>
    </xf>
    <xf numFmtId="0" fontId="14" fillId="0" borderId="59" xfId="1" applyNumberFormat="1" applyFont="1" applyFill="1" applyBorder="1"/>
    <xf numFmtId="164" fontId="25" fillId="0" borderId="59" xfId="1" applyFont="1" applyBorder="1"/>
    <xf numFmtId="0" fontId="14" fillId="0" borderId="59" xfId="1" applyNumberFormat="1" applyFont="1" applyBorder="1" applyAlignment="1">
      <alignment horizontal="center"/>
    </xf>
    <xf numFmtId="164" fontId="14" fillId="0" borderId="59" xfId="1" applyFont="1" applyBorder="1"/>
    <xf numFmtId="49" fontId="14" fillId="0" borderId="223" xfId="1" applyNumberFormat="1" applyFont="1" applyBorder="1"/>
    <xf numFmtId="0" fontId="32" fillId="0" borderId="0" xfId="0" applyFont="1" applyBorder="1" applyAlignment="1">
      <alignment vertical="center"/>
    </xf>
    <xf numFmtId="43" fontId="140" fillId="0" borderId="0" xfId="0" applyNumberFormat="1" applyFont="1" applyBorder="1" applyAlignment="1">
      <alignment horizontal="center" vertical="center"/>
    </xf>
    <xf numFmtId="164" fontId="32" fillId="0" borderId="0" xfId="1" applyFont="1" applyBorder="1" applyAlignment="1">
      <alignment vertical="center"/>
    </xf>
    <xf numFmtId="49" fontId="32" fillId="0" borderId="210" xfId="1" applyNumberFormat="1" applyFont="1" applyBorder="1" applyAlignment="1">
      <alignment horizontal="center" vertical="center"/>
    </xf>
    <xf numFmtId="0" fontId="60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225" xfId="0" applyFont="1" applyBorder="1" applyAlignment="1">
      <alignment vertical="center"/>
    </xf>
    <xf numFmtId="0" fontId="140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143" fillId="0" borderId="187" xfId="0" applyFont="1" applyBorder="1" applyAlignment="1">
      <alignment horizontal="center" vertical="center"/>
    </xf>
    <xf numFmtId="0" fontId="140" fillId="0" borderId="187" xfId="0" applyFont="1" applyBorder="1" applyAlignment="1">
      <alignment horizontal="center" vertical="center"/>
    </xf>
    <xf numFmtId="164" fontId="32" fillId="0" borderId="0" xfId="1" applyFont="1" applyBorder="1" applyAlignment="1">
      <alignment horizontal="center" vertical="center"/>
    </xf>
    <xf numFmtId="0" fontId="140" fillId="0" borderId="218" xfId="0" applyFont="1" applyBorder="1" applyAlignment="1">
      <alignment horizontal="center" vertical="center"/>
    </xf>
    <xf numFmtId="0" fontId="32" fillId="0" borderId="38" xfId="0" applyFont="1" applyBorder="1" applyAlignment="1">
      <alignment vertical="center"/>
    </xf>
    <xf numFmtId="164" fontId="32" fillId="0" borderId="38" xfId="1" applyFont="1" applyBorder="1" applyAlignment="1">
      <alignment vertical="center"/>
    </xf>
    <xf numFmtId="0" fontId="32" fillId="0" borderId="214" xfId="0" applyFont="1" applyBorder="1" applyAlignment="1">
      <alignment horizontal="center"/>
    </xf>
    <xf numFmtId="0" fontId="140" fillId="0" borderId="0" xfId="0" applyFont="1" applyBorder="1" applyAlignment="1">
      <alignment horizontal="center"/>
    </xf>
    <xf numFmtId="164" fontId="32" fillId="0" borderId="0" xfId="1" applyFont="1" applyBorder="1" applyAlignment="1">
      <alignment horizontal="center"/>
    </xf>
    <xf numFmtId="0" fontId="32" fillId="0" borderId="228" xfId="0" applyFont="1" applyBorder="1"/>
    <xf numFmtId="0" fontId="32" fillId="0" borderId="214" xfId="0" applyFont="1" applyBorder="1"/>
    <xf numFmtId="43" fontId="32" fillId="0" borderId="0" xfId="1" applyNumberFormat="1" applyFont="1" applyBorder="1"/>
    <xf numFmtId="0" fontId="32" fillId="0" borderId="219" xfId="0" applyFont="1" applyBorder="1"/>
    <xf numFmtId="43" fontId="32" fillId="0" borderId="0" xfId="0" applyNumberFormat="1" applyFont="1" applyBorder="1"/>
    <xf numFmtId="0" fontId="32" fillId="0" borderId="38" xfId="0" applyFont="1" applyBorder="1" applyAlignment="1">
      <alignment horizontal="center"/>
    </xf>
    <xf numFmtId="0" fontId="140" fillId="0" borderId="0" xfId="0" applyFont="1" applyBorder="1" applyAlignment="1"/>
    <xf numFmtId="0" fontId="32" fillId="0" borderId="210" xfId="0" applyFont="1" applyBorder="1" applyAlignment="1"/>
    <xf numFmtId="0" fontId="32" fillId="0" borderId="230" xfId="0" applyFont="1" applyBorder="1" applyAlignment="1">
      <alignment horizontal="center"/>
    </xf>
    <xf numFmtId="164" fontId="32" fillId="0" borderId="17" xfId="1" applyFont="1" applyBorder="1" applyAlignment="1">
      <alignment vertical="center"/>
    </xf>
    <xf numFmtId="0" fontId="32" fillId="0" borderId="0" xfId="0" applyFont="1" applyAlignment="1">
      <alignment horizontal="center"/>
    </xf>
    <xf numFmtId="0" fontId="32" fillId="0" borderId="45" xfId="1" applyNumberFormat="1" applyFont="1" applyBorder="1" applyAlignment="1">
      <alignment horizontal="center"/>
    </xf>
    <xf numFmtId="164" fontId="140" fillId="0" borderId="215" xfId="1" applyFont="1" applyBorder="1" applyAlignment="1"/>
    <xf numFmtId="164" fontId="140" fillId="0" borderId="216" xfId="1" applyFont="1" applyBorder="1" applyAlignment="1"/>
    <xf numFmtId="0" fontId="140" fillId="0" borderId="218" xfId="0" applyFont="1" applyBorder="1" applyAlignment="1"/>
    <xf numFmtId="49" fontId="32" fillId="0" borderId="218" xfId="0" applyNumberFormat="1" applyFont="1" applyBorder="1"/>
    <xf numFmtId="43" fontId="32" fillId="0" borderId="0" xfId="0" applyNumberFormat="1" applyFont="1" applyBorder="1" applyAlignment="1"/>
    <xf numFmtId="43" fontId="32" fillId="0" borderId="210" xfId="0" applyNumberFormat="1" applyFont="1" applyBorder="1"/>
    <xf numFmtId="43" fontId="61" fillId="0" borderId="0" xfId="1" applyNumberFormat="1" applyFont="1" applyFill="1" applyBorder="1" applyAlignment="1">
      <alignment horizontal="center"/>
    </xf>
    <xf numFmtId="164" fontId="124" fillId="0" borderId="222" xfId="1" applyFont="1" applyBorder="1"/>
    <xf numFmtId="43" fontId="124" fillId="0" borderId="60" xfId="1" applyNumberFormat="1" applyFont="1" applyBorder="1"/>
    <xf numFmtId="164" fontId="32" fillId="0" borderId="59" xfId="1" applyFont="1" applyBorder="1" applyAlignment="1">
      <alignment horizontal="center"/>
    </xf>
    <xf numFmtId="49" fontId="32" fillId="0" borderId="59" xfId="1" applyNumberFormat="1" applyFont="1" applyBorder="1"/>
    <xf numFmtId="164" fontId="124" fillId="0" borderId="59" xfId="1" applyFont="1" applyBorder="1"/>
    <xf numFmtId="0" fontId="32" fillId="0" borderId="59" xfId="1" applyNumberFormat="1" applyFont="1" applyBorder="1" applyAlignment="1">
      <alignment horizontal="center"/>
    </xf>
    <xf numFmtId="164" fontId="32" fillId="0" borderId="59" xfId="1" applyFont="1" applyBorder="1"/>
    <xf numFmtId="43" fontId="32" fillId="0" borderId="0" xfId="1" applyNumberFormat="1" applyFont="1" applyFill="1" applyBorder="1"/>
    <xf numFmtId="49" fontId="61" fillId="0" borderId="218" xfId="0" applyNumberFormat="1" applyFont="1" applyBorder="1" applyAlignment="1">
      <alignment horizontal="center"/>
    </xf>
    <xf numFmtId="43" fontId="289" fillId="0" borderId="127" xfId="0" quotePrefix="1" applyNumberFormat="1" applyFont="1" applyBorder="1" applyAlignment="1">
      <alignment horizontal="center"/>
    </xf>
    <xf numFmtId="43" fontId="289" fillId="0" borderId="330" xfId="0" applyNumberFormat="1" applyFont="1" applyBorder="1" applyAlignment="1">
      <alignment horizontal="center"/>
    </xf>
    <xf numFmtId="43" fontId="289" fillId="0" borderId="127" xfId="0" applyNumberFormat="1" applyFont="1" applyBorder="1" applyAlignment="1">
      <alignment horizontal="center"/>
    </xf>
    <xf numFmtId="49" fontId="61" fillId="0" borderId="0" xfId="0" applyNumberFormat="1" applyFont="1" applyBorder="1" applyAlignment="1">
      <alignment horizontal="center"/>
    </xf>
    <xf numFmtId="49" fontId="32" fillId="0" borderId="0" xfId="1" applyNumberFormat="1" applyFont="1" applyBorder="1" applyAlignment="1"/>
    <xf numFmtId="0" fontId="32" fillId="0" borderId="0" xfId="0" quotePrefix="1" applyFont="1" applyAlignment="1">
      <alignment horizontal="center"/>
    </xf>
    <xf numFmtId="43" fontId="32" fillId="0" borderId="0" xfId="0" applyNumberFormat="1" applyFont="1" applyFill="1" applyBorder="1"/>
    <xf numFmtId="49" fontId="143" fillId="0" borderId="218" xfId="0" applyNumberFormat="1" applyFont="1" applyBorder="1" applyAlignment="1">
      <alignment horizontal="center"/>
    </xf>
    <xf numFmtId="43" fontId="124" fillId="0" borderId="0" xfId="0" applyNumberFormat="1" applyFont="1" applyBorder="1" applyAlignment="1">
      <alignment horizontal="center"/>
    </xf>
    <xf numFmtId="49" fontId="32" fillId="0" borderId="218" xfId="1" applyNumberFormat="1" applyFont="1" applyBorder="1" applyAlignment="1">
      <alignment horizontal="center"/>
    </xf>
    <xf numFmtId="49" fontId="32" fillId="0" borderId="0" xfId="1" applyNumberFormat="1" applyFont="1" applyBorder="1" applyAlignment="1">
      <alignment horizontal="center"/>
    </xf>
    <xf numFmtId="49" fontId="32" fillId="0" borderId="218" xfId="0" applyNumberFormat="1" applyFont="1" applyBorder="1" applyAlignment="1">
      <alignment horizontal="center"/>
    </xf>
    <xf numFmtId="49" fontId="32" fillId="0" borderId="0" xfId="0" applyNumberFormat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49" fontId="150" fillId="0" borderId="0" xfId="0" applyNumberFormat="1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0" borderId="210" xfId="0" applyFont="1" applyBorder="1" applyAlignment="1">
      <alignment horizontal="center"/>
    </xf>
    <xf numFmtId="0" fontId="138" fillId="0" borderId="0" xfId="0" applyFont="1" applyAlignment="1">
      <alignment horizontal="center"/>
    </xf>
    <xf numFmtId="164" fontId="138" fillId="0" borderId="0" xfId="1" applyFont="1" applyBorder="1" applyAlignment="1">
      <alignment horizontal="center"/>
    </xf>
    <xf numFmtId="0" fontId="188" fillId="0" borderId="0" xfId="0" applyFont="1" applyBorder="1" applyAlignment="1">
      <alignment horizontal="center"/>
    </xf>
    <xf numFmtId="43" fontId="186" fillId="0" borderId="0" xfId="0" applyNumberFormat="1" applyFont="1" applyAlignment="1">
      <alignment horizontal="center"/>
    </xf>
    <xf numFmtId="43" fontId="138" fillId="0" borderId="0" xfId="0" applyNumberFormat="1" applyFont="1" applyAlignment="1">
      <alignment horizontal="center"/>
    </xf>
    <xf numFmtId="43" fontId="139" fillId="0" borderId="0" xfId="0" applyNumberFormat="1" applyFont="1" applyAlignment="1">
      <alignment horizontal="center"/>
    </xf>
    <xf numFmtId="43" fontId="155" fillId="0" borderId="0" xfId="0" applyNumberFormat="1" applyFont="1" applyAlignment="1">
      <alignment horizontal="center"/>
    </xf>
    <xf numFmtId="43" fontId="23" fillId="0" borderId="222" xfId="0" applyNumberFormat="1" applyFont="1" applyBorder="1" applyAlignment="1">
      <alignment horizontal="center"/>
    </xf>
    <xf numFmtId="43" fontId="206" fillId="0" borderId="67" xfId="1" applyNumberFormat="1" applyFont="1" applyBorder="1"/>
    <xf numFmtId="0" fontId="23" fillId="0" borderId="0" xfId="0" applyFont="1" applyBorder="1"/>
    <xf numFmtId="43" fontId="23" fillId="0" borderId="0" xfId="0" applyNumberFormat="1" applyFont="1" applyBorder="1"/>
    <xf numFmtId="0" fontId="23" fillId="0" borderId="59" xfId="0" applyFont="1" applyBorder="1"/>
    <xf numFmtId="0" fontId="23" fillId="0" borderId="68" xfId="0" applyFont="1" applyBorder="1"/>
    <xf numFmtId="0" fontId="23" fillId="0" borderId="219" xfId="0" applyFont="1" applyBorder="1"/>
    <xf numFmtId="43" fontId="289" fillId="0" borderId="311" xfId="0" applyNumberFormat="1" applyFont="1" applyBorder="1" applyAlignment="1">
      <alignment horizontal="center"/>
    </xf>
    <xf numFmtId="43" fontId="289" fillId="35" borderId="127" xfId="0" applyNumberFormat="1" applyFont="1" applyFill="1" applyBorder="1" applyAlignment="1">
      <alignment horizontal="center"/>
    </xf>
    <xf numFmtId="43" fontId="23" fillId="0" borderId="0" xfId="1" applyNumberFormat="1" applyFont="1" applyBorder="1"/>
    <xf numFmtId="0" fontId="23" fillId="0" borderId="0" xfId="0" applyFont="1" applyBorder="1" applyAlignment="1">
      <alignment horizontal="center"/>
    </xf>
    <xf numFmtId="43" fontId="23" fillId="0" borderId="0" xfId="0" applyNumberFormat="1" applyFont="1" applyFill="1" applyBorder="1"/>
    <xf numFmtId="43" fontId="23" fillId="0" borderId="0" xfId="1" applyNumberFormat="1" applyFont="1" applyFill="1" applyBorder="1"/>
    <xf numFmtId="49" fontId="126" fillId="0" borderId="45" xfId="0" applyNumberFormat="1" applyFont="1" applyBorder="1" applyAlignment="1"/>
    <xf numFmtId="43" fontId="276" fillId="0" borderId="311" xfId="0" quotePrefix="1" applyNumberFormat="1" applyFont="1" applyBorder="1" applyAlignment="1">
      <alignment horizontal="center"/>
    </xf>
    <xf numFmtId="43" fontId="290" fillId="0" borderId="218" xfId="1" applyNumberFormat="1" applyFont="1" applyFill="1" applyBorder="1"/>
    <xf numFmtId="43" fontId="140" fillId="0" borderId="0" xfId="0" applyNumberFormat="1" applyFont="1" applyBorder="1" applyAlignment="1"/>
    <xf numFmtId="43" fontId="256" fillId="38" borderId="10" xfId="0" applyNumberFormat="1" applyFont="1" applyFill="1" applyBorder="1" applyAlignment="1">
      <alignment horizontal="center"/>
    </xf>
    <xf numFmtId="0" fontId="13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43" fontId="289" fillId="0" borderId="311" xfId="0" quotePrefix="1" applyNumberFormat="1" applyFont="1" applyBorder="1" applyAlignment="1">
      <alignment horizontal="center"/>
    </xf>
    <xf numFmtId="0" fontId="23" fillId="0" borderId="0" xfId="0" quotePrefix="1" applyFont="1" applyAlignment="1">
      <alignment horizontal="center"/>
    </xf>
    <xf numFmtId="0" fontId="23" fillId="0" borderId="0" xfId="0" applyFont="1" applyAlignment="1">
      <alignment horizontal="center"/>
    </xf>
    <xf numFmtId="0" fontId="124" fillId="0" borderId="0" xfId="0" applyFont="1" applyBorder="1"/>
    <xf numFmtId="43" fontId="84" fillId="23" borderId="37" xfId="1" applyNumberFormat="1" applyFont="1" applyFill="1" applyBorder="1"/>
    <xf numFmtId="43" fontId="3" fillId="23" borderId="0" xfId="1" applyNumberFormat="1" applyFont="1" applyFill="1" applyBorder="1"/>
    <xf numFmtId="43" fontId="3" fillId="0" borderId="38" xfId="0" applyNumberFormat="1" applyFont="1" applyBorder="1"/>
    <xf numFmtId="43" fontId="3" fillId="4" borderId="0" xfId="0" applyNumberFormat="1" applyFont="1" applyFill="1"/>
    <xf numFmtId="43" fontId="3" fillId="0" borderId="51" xfId="0" applyNumberFormat="1" applyFont="1" applyBorder="1" applyAlignment="1"/>
    <xf numFmtId="43" fontId="3" fillId="0" borderId="51" xfId="0" applyNumberFormat="1" applyFont="1" applyBorder="1"/>
    <xf numFmtId="0" fontId="179" fillId="0" borderId="0" xfId="0" applyFont="1" applyFill="1" applyBorder="1" applyAlignment="1">
      <alignment horizontal="center" vertical="center"/>
    </xf>
    <xf numFmtId="43" fontId="138" fillId="2" borderId="0" xfId="0" applyNumberFormat="1" applyFont="1" applyFill="1" applyBorder="1"/>
    <xf numFmtId="0" fontId="181" fillId="0" borderId="0" xfId="0" applyFont="1" applyFill="1" applyAlignment="1">
      <alignment horizontal="center" vertical="center"/>
    </xf>
    <xf numFmtId="0" fontId="183" fillId="0" borderId="0" xfId="0" applyFont="1" applyBorder="1" applyAlignment="1">
      <alignment horizontal="center" vertical="center"/>
    </xf>
    <xf numFmtId="43" fontId="138" fillId="0" borderId="0" xfId="0" applyNumberFormat="1" applyFont="1" applyFill="1"/>
    <xf numFmtId="43" fontId="3" fillId="0" borderId="210" xfId="0" applyNumberFormat="1" applyFont="1" applyBorder="1" applyAlignment="1">
      <alignment vertical="center"/>
    </xf>
    <xf numFmtId="0" fontId="135" fillId="0" borderId="0" xfId="0" applyFont="1" applyBorder="1"/>
    <xf numFmtId="43" fontId="164" fillId="2" borderId="0" xfId="1" applyNumberFormat="1" applyFont="1" applyFill="1" applyBorder="1" applyAlignment="1">
      <alignment horizontal="center"/>
    </xf>
    <xf numFmtId="43" fontId="171" fillId="0" borderId="338" xfId="0" applyNumberFormat="1" applyFont="1" applyBorder="1"/>
    <xf numFmtId="43" fontId="171" fillId="0" borderId="29" xfId="0" applyNumberFormat="1" applyFont="1" applyBorder="1"/>
    <xf numFmtId="43" fontId="171" fillId="0" borderId="160" xfId="0" applyNumberFormat="1" applyFont="1" applyBorder="1"/>
    <xf numFmtId="43" fontId="155" fillId="0" borderId="0" xfId="0" applyNumberFormat="1" applyFont="1" applyBorder="1"/>
    <xf numFmtId="43" fontId="152" fillId="0" borderId="29" xfId="1" applyNumberFormat="1" applyFont="1" applyBorder="1"/>
    <xf numFmtId="164" fontId="138" fillId="0" borderId="29" xfId="1" applyFont="1" applyBorder="1"/>
    <xf numFmtId="164" fontId="138" fillId="0" borderId="160" xfId="1" applyFont="1" applyBorder="1"/>
    <xf numFmtId="43" fontId="152" fillId="0" borderId="160" xfId="1" applyNumberFormat="1" applyFont="1" applyBorder="1"/>
    <xf numFmtId="43" fontId="29" fillId="2" borderId="210" xfId="0" applyNumberFormat="1" applyFont="1" applyFill="1" applyBorder="1"/>
    <xf numFmtId="43" fontId="131" fillId="2" borderId="0" xfId="0" applyNumberFormat="1" applyFont="1" applyFill="1"/>
    <xf numFmtId="0" fontId="10" fillId="0" borderId="53" xfId="0" applyFont="1" applyBorder="1"/>
    <xf numFmtId="43" fontId="252" fillId="0" borderId="380" xfId="0" applyNumberFormat="1" applyFont="1" applyFill="1" applyBorder="1" applyAlignment="1">
      <alignment horizontal="left" vertical="center"/>
    </xf>
    <xf numFmtId="0" fontId="0" fillId="0" borderId="451" xfId="0" applyBorder="1" applyAlignment="1">
      <alignment horizontal="right"/>
    </xf>
    <xf numFmtId="0" fontId="0" fillId="0" borderId="210" xfId="0" applyBorder="1" applyAlignment="1">
      <alignment horizontal="left"/>
    </xf>
    <xf numFmtId="49" fontId="32" fillId="0" borderId="224" xfId="0" applyNumberFormat="1" applyFont="1" applyBorder="1"/>
    <xf numFmtId="43" fontId="32" fillId="0" borderId="210" xfId="0" applyNumberFormat="1" applyFont="1" applyBorder="1" applyAlignment="1"/>
    <xf numFmtId="0" fontId="32" fillId="0" borderId="210" xfId="0" applyFont="1" applyBorder="1"/>
    <xf numFmtId="43" fontId="3" fillId="0" borderId="210" xfId="0" applyNumberFormat="1" applyFont="1" applyBorder="1" applyAlignment="1"/>
    <xf numFmtId="43" fontId="32" fillId="38" borderId="0" xfId="0" applyNumberFormat="1" applyFont="1" applyFill="1" applyBorder="1"/>
    <xf numFmtId="43" fontId="32" fillId="9" borderId="210" xfId="0" applyNumberFormat="1" applyFont="1" applyFill="1" applyBorder="1"/>
    <xf numFmtId="0" fontId="32" fillId="0" borderId="0" xfId="0" applyFont="1" applyFill="1" applyBorder="1" applyAlignment="1">
      <alignment horizontal="center"/>
    </xf>
    <xf numFmtId="43" fontId="32" fillId="0" borderId="0" xfId="0" applyNumberFormat="1" applyFont="1" applyFill="1" applyBorder="1" applyAlignment="1">
      <alignment horizontal="center"/>
    </xf>
    <xf numFmtId="43" fontId="24" fillId="0" borderId="0" xfId="0" applyNumberFormat="1" applyFont="1" applyBorder="1" applyAlignment="1">
      <alignment vertical="center"/>
    </xf>
    <xf numFmtId="43" fontId="32" fillId="35" borderId="225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2" fontId="54" fillId="7" borderId="452" xfId="1" applyNumberFormat="1" applyFont="1" applyFill="1" applyBorder="1"/>
    <xf numFmtId="0" fontId="23" fillId="0" borderId="40" xfId="0" applyFont="1" applyBorder="1"/>
    <xf numFmtId="43" fontId="23" fillId="0" borderId="453" xfId="0" applyNumberFormat="1" applyFont="1" applyFill="1" applyBorder="1"/>
    <xf numFmtId="0" fontId="23" fillId="0" borderId="40" xfId="0" applyFont="1" applyFill="1" applyBorder="1"/>
    <xf numFmtId="43" fontId="23" fillId="0" borderId="453" xfId="0" applyNumberFormat="1" applyFont="1" applyBorder="1"/>
    <xf numFmtId="0" fontId="23" fillId="0" borderId="455" xfId="0" applyFont="1" applyBorder="1"/>
    <xf numFmtId="43" fontId="32" fillId="15" borderId="38" xfId="0" applyNumberFormat="1" applyFont="1" applyFill="1" applyBorder="1"/>
    <xf numFmtId="44" fontId="32" fillId="0" borderId="0" xfId="0" applyNumberFormat="1" applyFont="1"/>
    <xf numFmtId="44" fontId="32" fillId="0" borderId="0" xfId="1" applyNumberFormat="1" applyFont="1" applyBorder="1"/>
    <xf numFmtId="44" fontId="32" fillId="0" borderId="0" xfId="0" applyNumberFormat="1" applyFont="1" applyBorder="1"/>
    <xf numFmtId="44" fontId="32" fillId="0" borderId="0" xfId="0" applyNumberFormat="1" applyFont="1" applyFill="1" applyBorder="1"/>
    <xf numFmtId="44" fontId="291" fillId="0" borderId="0" xfId="0" applyNumberFormat="1" applyFont="1" applyFill="1" applyBorder="1" applyAlignment="1">
      <alignment horizontal="center"/>
    </xf>
    <xf numFmtId="44" fontId="291" fillId="0" borderId="0" xfId="0" applyNumberFormat="1" applyFont="1" applyFill="1" applyBorder="1"/>
    <xf numFmtId="0" fontId="32" fillId="0" borderId="447" xfId="0" applyFont="1" applyBorder="1" applyAlignment="1"/>
    <xf numFmtId="0" fontId="32" fillId="0" borderId="456" xfId="0" applyFont="1" applyBorder="1" applyAlignment="1"/>
    <xf numFmtId="43" fontId="23" fillId="0" borderId="218" xfId="0" applyNumberFormat="1" applyFont="1" applyBorder="1"/>
    <xf numFmtId="0" fontId="60" fillId="0" borderId="427" xfId="0" applyFont="1" applyBorder="1" applyAlignment="1">
      <alignment horizontal="center" vertical="center"/>
    </xf>
    <xf numFmtId="0" fontId="60" fillId="0" borderId="42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/>
    <xf numFmtId="43" fontId="138" fillId="38" borderId="0" xfId="0" applyNumberFormat="1" applyFont="1" applyFill="1"/>
    <xf numFmtId="43" fontId="50" fillId="0" borderId="0" xfId="0" applyNumberFormat="1" applyFont="1" applyAlignment="1">
      <alignment horizontal="center"/>
    </xf>
    <xf numFmtId="44" fontId="140" fillId="0" borderId="60" xfId="1" applyNumberFormat="1" applyFont="1" applyBorder="1"/>
    <xf numFmtId="44" fontId="138" fillId="0" borderId="0" xfId="0" applyNumberFormat="1" applyFont="1"/>
    <xf numFmtId="44" fontId="135" fillId="0" borderId="0" xfId="0" applyNumberFormat="1" applyFont="1" applyBorder="1" applyAlignment="1">
      <alignment vertical="center"/>
    </xf>
    <xf numFmtId="44" fontId="10" fillId="0" borderId="176" xfId="0" applyNumberFormat="1" applyFont="1" applyFill="1" applyBorder="1" applyAlignment="1">
      <alignment horizontal="center" vertical="center" wrapText="1"/>
    </xf>
    <xf numFmtId="44" fontId="10" fillId="0" borderId="45" xfId="0" applyNumberFormat="1" applyFont="1" applyFill="1" applyBorder="1" applyAlignment="1">
      <alignment horizontal="center" vertical="center" wrapText="1"/>
    </xf>
    <xf numFmtId="44" fontId="142" fillId="0" borderId="46" xfId="1" applyNumberFormat="1" applyFont="1" applyBorder="1" applyAlignment="1">
      <alignment horizontal="center"/>
    </xf>
    <xf numFmtId="44" fontId="138" fillId="0" borderId="54" xfId="0" applyNumberFormat="1" applyFont="1" applyBorder="1"/>
    <xf numFmtId="44" fontId="136" fillId="0" borderId="53" xfId="1" applyNumberFormat="1" applyFont="1" applyBorder="1" applyAlignment="1">
      <alignment horizontal="center"/>
    </xf>
    <xf numFmtId="44" fontId="136" fillId="0" borderId="46" xfId="1" applyNumberFormat="1" applyFont="1" applyBorder="1"/>
    <xf numFmtId="44" fontId="136" fillId="0" borderId="54" xfId="1" applyNumberFormat="1" applyFont="1" applyBorder="1"/>
    <xf numFmtId="44" fontId="136" fillId="0" borderId="46" xfId="1" applyNumberFormat="1" applyFont="1" applyBorder="1" applyAlignment="1">
      <alignment horizontal="center"/>
    </xf>
    <xf numFmtId="44" fontId="136" fillId="0" borderId="0" xfId="1" applyNumberFormat="1" applyFont="1" applyBorder="1" applyAlignment="1">
      <alignment horizontal="center"/>
    </xf>
    <xf numFmtId="44" fontId="136" fillId="0" borderId="38" xfId="1" applyNumberFormat="1" applyFont="1" applyBorder="1"/>
    <xf numFmtId="44" fontId="136" fillId="0" borderId="0" xfId="0" applyNumberFormat="1" applyFont="1" applyBorder="1"/>
    <xf numFmtId="44" fontId="136" fillId="0" borderId="5" xfId="1" applyNumberFormat="1" applyFont="1" applyBorder="1" applyAlignment="1">
      <alignment horizontal="center"/>
    </xf>
    <xf numFmtId="44" fontId="136" fillId="0" borderId="5" xfId="1" applyNumberFormat="1" applyFont="1" applyBorder="1"/>
    <xf numFmtId="44" fontId="136" fillId="0" borderId="17" xfId="1" applyNumberFormat="1" applyFont="1" applyBorder="1"/>
    <xf numFmtId="44" fontId="136" fillId="0" borderId="0" xfId="0" applyNumberFormat="1" applyFont="1"/>
    <xf numFmtId="44" fontId="136" fillId="0" borderId="0" xfId="1" applyNumberFormat="1" applyFont="1" applyBorder="1"/>
    <xf numFmtId="44" fontId="138" fillId="0" borderId="0" xfId="1" applyNumberFormat="1" applyFont="1" applyBorder="1"/>
    <xf numFmtId="44" fontId="138" fillId="0" borderId="54" xfId="1" applyNumberFormat="1" applyFont="1" applyBorder="1"/>
    <xf numFmtId="44" fontId="138" fillId="0" borderId="0" xfId="0" applyNumberFormat="1" applyFont="1" applyBorder="1"/>
    <xf numFmtId="44" fontId="141" fillId="0" borderId="46" xfId="1" applyNumberFormat="1" applyFont="1" applyBorder="1" applyAlignment="1">
      <alignment horizontal="center"/>
    </xf>
    <xf numFmtId="44" fontId="138" fillId="0" borderId="59" xfId="1" applyNumberFormat="1" applyFont="1" applyBorder="1" applyAlignment="1">
      <alignment horizontal="center"/>
    </xf>
    <xf numFmtId="44" fontId="138" fillId="0" borderId="0" xfId="1" applyNumberFormat="1" applyFont="1" applyBorder="1" applyAlignment="1">
      <alignment horizontal="center"/>
    </xf>
    <xf numFmtId="44" fontId="138" fillId="0" borderId="38" xfId="1" applyNumberFormat="1" applyFont="1" applyBorder="1"/>
    <xf numFmtId="44" fontId="155" fillId="0" borderId="0" xfId="0" applyNumberFormat="1" applyFont="1" applyBorder="1" applyAlignment="1">
      <alignment horizontal="center"/>
    </xf>
    <xf numFmtId="44" fontId="139" fillId="0" borderId="210" xfId="1" applyNumberFormat="1" applyFont="1" applyBorder="1" applyAlignment="1">
      <alignment horizontal="center"/>
    </xf>
    <xf numFmtId="44" fontId="139" fillId="0" borderId="214" xfId="0" applyNumberFormat="1" applyFont="1" applyBorder="1"/>
    <xf numFmtId="44" fontId="138" fillId="0" borderId="0" xfId="0" applyNumberFormat="1" applyFont="1" applyBorder="1" applyAlignment="1">
      <alignment horizontal="center"/>
    </xf>
    <xf numFmtId="44" fontId="148" fillId="0" borderId="127" xfId="0" applyNumberFormat="1" applyFont="1" applyBorder="1" applyAlignment="1">
      <alignment horizontal="center"/>
    </xf>
    <xf numFmtId="44" fontId="160" fillId="0" borderId="15" xfId="0" applyNumberFormat="1" applyFont="1" applyBorder="1" applyAlignment="1">
      <alignment horizontal="center"/>
    </xf>
    <xf numFmtId="44" fontId="138" fillId="0" borderId="210" xfId="0" applyNumberFormat="1" applyFont="1" applyBorder="1" applyAlignment="1">
      <alignment horizontal="center"/>
    </xf>
    <xf numFmtId="44" fontId="163" fillId="0" borderId="0" xfId="0" applyNumberFormat="1" applyFont="1" applyFill="1" applyBorder="1" applyAlignment="1">
      <alignment vertical="center"/>
    </xf>
    <xf numFmtId="44" fontId="138" fillId="0" borderId="0" xfId="0" applyNumberFormat="1" applyFont="1" applyFill="1" applyBorder="1"/>
    <xf numFmtId="44" fontId="143" fillId="0" borderId="37" xfId="1" applyNumberFormat="1" applyFont="1" applyBorder="1"/>
    <xf numFmtId="44" fontId="143" fillId="0" borderId="313" xfId="1" applyNumberFormat="1" applyFont="1" applyBorder="1"/>
    <xf numFmtId="44" fontId="142" fillId="0" borderId="0" xfId="0" applyNumberFormat="1" applyFont="1" applyBorder="1" applyAlignment="1">
      <alignment horizontal="center"/>
    </xf>
    <xf numFmtId="44" fontId="165" fillId="0" borderId="0" xfId="0" applyNumberFormat="1" applyFont="1" applyAlignment="1">
      <alignment horizontal="right"/>
    </xf>
    <xf numFmtId="44" fontId="279" fillId="0" borderId="12" xfId="0" applyNumberFormat="1" applyFont="1" applyBorder="1" applyAlignment="1">
      <alignment horizontal="center"/>
    </xf>
    <xf numFmtId="44" fontId="148" fillId="0" borderId="332" xfId="0" applyNumberFormat="1" applyFont="1" applyBorder="1" applyAlignment="1">
      <alignment horizontal="center"/>
    </xf>
    <xf numFmtId="44" fontId="143" fillId="0" borderId="333" xfId="1" applyNumberFormat="1" applyFont="1" applyBorder="1"/>
    <xf numFmtId="44" fontId="143" fillId="0" borderId="171" xfId="1" applyNumberFormat="1" applyFont="1" applyBorder="1"/>
    <xf numFmtId="44" fontId="143" fillId="0" borderId="334" xfId="1" applyNumberFormat="1" applyFont="1" applyBorder="1"/>
    <xf numFmtId="44" fontId="178" fillId="16" borderId="6" xfId="1" applyNumberFormat="1" applyFont="1" applyFill="1" applyBorder="1" applyAlignment="1">
      <alignment horizontal="center"/>
    </xf>
    <xf numFmtId="44" fontId="138" fillId="4" borderId="0" xfId="0" applyNumberFormat="1" applyFont="1" applyFill="1"/>
    <xf numFmtId="44" fontId="138" fillId="0" borderId="210" xfId="0" applyNumberFormat="1" applyFont="1" applyBorder="1"/>
    <xf numFmtId="44" fontId="181" fillId="37" borderId="0" xfId="0" applyNumberFormat="1" applyFont="1" applyFill="1" applyAlignment="1">
      <alignment horizontal="center" vertical="center"/>
    </xf>
    <xf numFmtId="44" fontId="183" fillId="0" borderId="2" xfId="0" applyNumberFormat="1" applyFont="1" applyBorder="1" applyAlignment="1">
      <alignment horizontal="center" vertical="center"/>
    </xf>
    <xf numFmtId="44" fontId="183" fillId="0" borderId="7" xfId="0" applyNumberFormat="1" applyFont="1" applyBorder="1" applyAlignment="1">
      <alignment horizontal="center" vertical="center"/>
    </xf>
    <xf numFmtId="44" fontId="152" fillId="0" borderId="0" xfId="0" applyNumberFormat="1" applyFont="1" applyAlignment="1">
      <alignment horizontal="left"/>
    </xf>
    <xf numFmtId="44" fontId="158" fillId="0" borderId="38" xfId="0" applyNumberFormat="1" applyFont="1" applyBorder="1" applyAlignment="1">
      <alignment horizontal="left"/>
    </xf>
    <xf numFmtId="44" fontId="190" fillId="17" borderId="53" xfId="0" applyNumberFormat="1" applyFont="1" applyFill="1" applyBorder="1" applyAlignment="1">
      <alignment horizontal="center"/>
    </xf>
    <xf numFmtId="44" fontId="192" fillId="37" borderId="0" xfId="0" applyNumberFormat="1" applyFont="1" applyFill="1" applyBorder="1" applyAlignment="1">
      <alignment horizontal="center" vertical="center"/>
    </xf>
    <xf numFmtId="44" fontId="141" fillId="0" borderId="0" xfId="1" applyNumberFormat="1" applyFont="1" applyBorder="1" applyAlignment="1">
      <alignment horizontal="center"/>
    </xf>
    <xf numFmtId="44" fontId="157" fillId="0" borderId="51" xfId="0" applyNumberFormat="1" applyFont="1" applyBorder="1" applyAlignment="1">
      <alignment horizontal="center" vertical="center"/>
    </xf>
    <xf numFmtId="44" fontId="135" fillId="0" borderId="0" xfId="0" applyNumberFormat="1" applyFont="1" applyBorder="1" applyAlignment="1">
      <alignment horizontal="center"/>
    </xf>
    <xf numFmtId="44" fontId="189" fillId="0" borderId="38" xfId="0" applyNumberFormat="1" applyFont="1" applyBorder="1" applyAlignment="1">
      <alignment horizontal="center"/>
    </xf>
    <xf numFmtId="44" fontId="171" fillId="0" borderId="123" xfId="0" applyNumberFormat="1" applyFont="1" applyBorder="1" applyAlignment="1">
      <alignment horizontal="center"/>
    </xf>
    <xf numFmtId="44" fontId="171" fillId="0" borderId="28" xfId="0" applyNumberFormat="1" applyFont="1" applyBorder="1" applyAlignment="1">
      <alignment horizontal="center"/>
    </xf>
    <xf numFmtId="44" fontId="171" fillId="0" borderId="120" xfId="0" applyNumberFormat="1" applyFont="1" applyBorder="1" applyAlignment="1">
      <alignment horizontal="center"/>
    </xf>
    <xf numFmtId="44" fontId="138" fillId="0" borderId="53" xfId="0" applyNumberFormat="1" applyFont="1" applyBorder="1"/>
    <xf numFmtId="44" fontId="155" fillId="0" borderId="15" xfId="0" applyNumberFormat="1" applyFont="1" applyBorder="1" applyAlignment="1">
      <alignment horizontal="left"/>
    </xf>
    <xf numFmtId="44" fontId="138" fillId="0" borderId="40" xfId="0" applyNumberFormat="1" applyFont="1" applyBorder="1"/>
    <xf numFmtId="44" fontId="138" fillId="0" borderId="0" xfId="0" applyNumberFormat="1" applyFont="1" applyAlignment="1">
      <alignment horizontal="center"/>
    </xf>
    <xf numFmtId="44" fontId="189" fillId="6" borderId="38" xfId="1" applyNumberFormat="1" applyFont="1" applyFill="1" applyBorder="1"/>
    <xf numFmtId="44" fontId="138" fillId="0" borderId="234" xfId="0" applyNumberFormat="1" applyFont="1" applyBorder="1"/>
    <xf numFmtId="44" fontId="138" fillId="0" borderId="335" xfId="0" applyNumberFormat="1" applyFont="1" applyBorder="1"/>
    <xf numFmtId="44" fontId="138" fillId="0" borderId="336" xfId="0" applyNumberFormat="1" applyFont="1" applyBorder="1"/>
    <xf numFmtId="44" fontId="166" fillId="6" borderId="38" xfId="1" applyNumberFormat="1" applyFont="1" applyFill="1" applyBorder="1" applyAlignment="1">
      <alignment horizontal="center"/>
    </xf>
    <xf numFmtId="44" fontId="151" fillId="0" borderId="0" xfId="0" applyNumberFormat="1" applyFont="1"/>
    <xf numFmtId="44" fontId="139" fillId="0" borderId="38" xfId="0" applyNumberFormat="1" applyFont="1" applyBorder="1" applyAlignment="1">
      <alignment horizontal="center"/>
    </xf>
    <xf numFmtId="44" fontId="138" fillId="0" borderId="160" xfId="0" applyNumberFormat="1" applyFont="1" applyBorder="1"/>
    <xf numFmtId="44" fontId="138" fillId="0" borderId="38" xfId="0" applyNumberFormat="1" applyFont="1" applyBorder="1"/>
    <xf numFmtId="44" fontId="165" fillId="0" borderId="0" xfId="0" applyNumberFormat="1" applyFont="1"/>
    <xf numFmtId="44" fontId="147" fillId="0" borderId="38" xfId="0" applyNumberFormat="1" applyFont="1" applyBorder="1" applyAlignment="1">
      <alignment horizontal="center"/>
    </xf>
    <xf numFmtId="44" fontId="171" fillId="0" borderId="239" xfId="0" applyNumberFormat="1" applyFont="1" applyBorder="1" applyAlignment="1">
      <alignment horizontal="center"/>
    </xf>
    <xf numFmtId="44" fontId="171" fillId="0" borderId="241" xfId="0" applyNumberFormat="1" applyFont="1" applyBorder="1" applyAlignment="1">
      <alignment horizontal="center"/>
    </xf>
    <xf numFmtId="44" fontId="171" fillId="0" borderId="336" xfId="0" applyNumberFormat="1" applyFont="1" applyBorder="1" applyAlignment="1">
      <alignment horizontal="center"/>
    </xf>
    <xf numFmtId="44" fontId="171" fillId="0" borderId="0" xfId="0" applyNumberFormat="1" applyFont="1" applyBorder="1" applyAlignment="1">
      <alignment horizontal="center"/>
    </xf>
    <xf numFmtId="44" fontId="166" fillId="6" borderId="72" xfId="1" applyNumberFormat="1" applyFont="1" applyFill="1" applyBorder="1" applyAlignment="1">
      <alignment horizontal="center"/>
    </xf>
    <xf numFmtId="44" fontId="166" fillId="0" borderId="55" xfId="1" applyNumberFormat="1" applyFont="1" applyBorder="1" applyAlignment="1">
      <alignment horizontal="center"/>
    </xf>
    <xf numFmtId="44" fontId="138" fillId="0" borderId="338" xfId="0" applyNumberFormat="1" applyFont="1" applyBorder="1"/>
    <xf numFmtId="44" fontId="138" fillId="0" borderId="29" xfId="0" applyNumberFormat="1" applyFont="1" applyBorder="1"/>
    <xf numFmtId="44" fontId="151" fillId="0" borderId="0" xfId="0" applyNumberFormat="1" applyFont="1" applyBorder="1"/>
    <xf numFmtId="44" fontId="166" fillId="0" borderId="0" xfId="1" applyNumberFormat="1" applyFont="1" applyBorder="1" applyAlignment="1"/>
    <xf numFmtId="44" fontId="157" fillId="0" borderId="0" xfId="1" applyNumberFormat="1" applyFont="1" applyBorder="1" applyAlignment="1"/>
    <xf numFmtId="44" fontId="164" fillId="0" borderId="0" xfId="1" applyNumberFormat="1" applyFont="1" applyBorder="1" applyAlignment="1"/>
    <xf numFmtId="44" fontId="154" fillId="0" borderId="0" xfId="0" applyNumberFormat="1" applyFont="1" applyBorder="1"/>
    <xf numFmtId="0" fontId="135" fillId="0" borderId="46" xfId="0" applyFont="1" applyBorder="1" applyAlignment="1">
      <alignment horizontal="center" vertical="center"/>
    </xf>
    <xf numFmtId="43" fontId="135" fillId="0" borderId="38" xfId="0" applyNumberFormat="1" applyFont="1" applyBorder="1" applyAlignment="1">
      <alignment horizontal="center" vertical="center"/>
    </xf>
    <xf numFmtId="43" fontId="135" fillId="2" borderId="42" xfId="0" applyNumberFormat="1" applyFont="1" applyFill="1" applyBorder="1"/>
    <xf numFmtId="0" fontId="0" fillId="0" borderId="465" xfId="0" applyBorder="1" applyAlignment="1">
      <alignment horizontal="center" vertical="center"/>
    </xf>
    <xf numFmtId="0" fontId="0" fillId="0" borderId="466" xfId="0" applyBorder="1" applyAlignment="1">
      <alignment horizontal="center" vertical="center"/>
    </xf>
    <xf numFmtId="0" fontId="3" fillId="0" borderId="317" xfId="0" applyNumberFormat="1" applyFont="1" applyBorder="1"/>
    <xf numFmtId="0" fontId="3" fillId="0" borderId="51" xfId="0" applyFont="1" applyBorder="1"/>
    <xf numFmtId="0" fontId="3" fillId="0" borderId="38" xfId="0" applyFont="1" applyBorder="1"/>
    <xf numFmtId="44" fontId="20" fillId="0" borderId="46" xfId="1" applyNumberFormat="1" applyFont="1" applyBorder="1" applyAlignment="1">
      <alignment horizontal="center"/>
    </xf>
    <xf numFmtId="0" fontId="20" fillId="0" borderId="46" xfId="1" applyNumberFormat="1" applyFont="1" applyBorder="1" applyAlignment="1">
      <alignment horizontal="center"/>
    </xf>
    <xf numFmtId="0" fontId="30" fillId="0" borderId="0" xfId="0" applyFont="1" applyBorder="1"/>
    <xf numFmtId="0" fontId="30" fillId="0" borderId="219" xfId="0" applyFont="1" applyBorder="1"/>
    <xf numFmtId="43" fontId="143" fillId="9" borderId="210" xfId="0" applyNumberFormat="1" applyFont="1" applyFill="1" applyBorder="1"/>
    <xf numFmtId="43" fontId="124" fillId="9" borderId="210" xfId="0" applyNumberFormat="1" applyFont="1" applyFill="1" applyBorder="1"/>
    <xf numFmtId="43" fontId="32" fillId="8" borderId="0" xfId="0" applyNumberFormat="1" applyFont="1" applyFill="1" applyBorder="1"/>
    <xf numFmtId="43" fontId="32" fillId="8" borderId="210" xfId="0" applyNumberFormat="1" applyFont="1" applyFill="1" applyBorder="1"/>
    <xf numFmtId="43" fontId="124" fillId="39" borderId="0" xfId="0" applyNumberFormat="1" applyFont="1" applyFill="1" applyBorder="1"/>
    <xf numFmtId="43" fontId="32" fillId="39" borderId="0" xfId="0" applyNumberFormat="1" applyFont="1" applyFill="1" applyBorder="1"/>
    <xf numFmtId="43" fontId="124" fillId="9" borderId="0" xfId="0" applyNumberFormat="1" applyFont="1" applyFill="1" applyBorder="1"/>
    <xf numFmtId="43" fontId="32" fillId="9" borderId="0" xfId="0" applyNumberFormat="1" applyFont="1" applyFill="1" applyBorder="1"/>
    <xf numFmtId="0" fontId="73" fillId="0" borderId="7" xfId="0" applyFont="1" applyBorder="1" applyAlignment="1">
      <alignment horizontal="left"/>
    </xf>
    <xf numFmtId="0" fontId="65" fillId="0" borderId="0" xfId="0" applyFont="1" applyAlignment="1"/>
    <xf numFmtId="43" fontId="6" fillId="0" borderId="0" xfId="1" applyNumberFormat="1" applyFont="1" applyFill="1" applyBorder="1"/>
    <xf numFmtId="43" fontId="170" fillId="0" borderId="0" xfId="0" applyNumberFormat="1" applyFont="1" applyFill="1" applyBorder="1" applyAlignment="1">
      <alignment horizontal="center"/>
    </xf>
    <xf numFmtId="43" fontId="0" fillId="0" borderId="0" xfId="0" applyNumberFormat="1" applyFont="1" applyBorder="1"/>
    <xf numFmtId="43" fontId="98" fillId="0" borderId="0" xfId="1" applyNumberFormat="1" applyFont="1" applyFill="1" applyBorder="1" applyAlignment="1">
      <alignment horizontal="center"/>
    </xf>
    <xf numFmtId="49" fontId="150" fillId="0" borderId="0" xfId="0" applyNumberFormat="1" applyFont="1" applyFill="1" applyBorder="1" applyAlignment="1">
      <alignment horizontal="center"/>
    </xf>
    <xf numFmtId="43" fontId="178" fillId="0" borderId="0" xfId="1" applyNumberFormat="1" applyFont="1" applyFill="1" applyBorder="1" applyAlignment="1">
      <alignment horizontal="center"/>
    </xf>
    <xf numFmtId="0" fontId="175" fillId="0" borderId="0" xfId="0" applyFont="1" applyFill="1" applyBorder="1" applyAlignment="1">
      <alignment vertical="center"/>
    </xf>
    <xf numFmtId="0" fontId="138" fillId="0" borderId="0" xfId="0" applyFont="1" applyFill="1"/>
    <xf numFmtId="43" fontId="25" fillId="0" borderId="60" xfId="1" applyNumberFormat="1" applyFont="1" applyBorder="1" applyAlignment="1">
      <alignment vertical="center"/>
    </xf>
    <xf numFmtId="0" fontId="27" fillId="0" borderId="269" xfId="0" applyFont="1" applyBorder="1" applyAlignment="1">
      <alignment horizontal="right"/>
    </xf>
    <xf numFmtId="0" fontId="60" fillId="0" borderId="5" xfId="0" applyFont="1" applyBorder="1" applyAlignment="1">
      <alignment horizontal="center" vertical="center"/>
    </xf>
    <xf numFmtId="0" fontId="138" fillId="0" borderId="0" xfId="0" applyFont="1" applyAlignment="1">
      <alignment vertical="center"/>
    </xf>
    <xf numFmtId="49" fontId="150" fillId="0" borderId="6" xfId="0" applyNumberFormat="1" applyFont="1" applyBorder="1" applyAlignment="1">
      <alignment horizontal="center" vertical="center"/>
    </xf>
    <xf numFmtId="0" fontId="138" fillId="0" borderId="0" xfId="0" applyFont="1" applyBorder="1" applyAlignment="1">
      <alignment vertical="center"/>
    </xf>
    <xf numFmtId="43" fontId="148" fillId="0" borderId="190" xfId="0" quotePrefix="1" applyNumberFormat="1" applyFont="1" applyBorder="1" applyAlignment="1">
      <alignment horizontal="center" vertical="center"/>
    </xf>
    <xf numFmtId="43" fontId="148" fillId="0" borderId="127" xfId="0" applyNumberFormat="1" applyFont="1" applyBorder="1" applyAlignment="1">
      <alignment horizontal="center" vertical="center"/>
    </xf>
    <xf numFmtId="49" fontId="153" fillId="0" borderId="0" xfId="0" applyNumberFormat="1" applyFont="1" applyBorder="1" applyAlignment="1">
      <alignment horizontal="center" vertical="center"/>
    </xf>
    <xf numFmtId="43" fontId="160" fillId="0" borderId="15" xfId="0" applyNumberFormat="1" applyFont="1" applyBorder="1" applyAlignment="1">
      <alignment horizontal="center" vertical="center"/>
    </xf>
    <xf numFmtId="43" fontId="148" fillId="0" borderId="127" xfId="0" quotePrefix="1" applyNumberFormat="1" applyFont="1" applyBorder="1" applyAlignment="1">
      <alignment horizontal="center" vertical="center"/>
    </xf>
    <xf numFmtId="1" fontId="173" fillId="0" borderId="219" xfId="0" applyNumberFormat="1" applyFont="1" applyBorder="1" applyAlignment="1">
      <alignment horizontal="center" vertical="center"/>
    </xf>
    <xf numFmtId="1" fontId="173" fillId="0" borderId="0" xfId="0" applyNumberFormat="1" applyFont="1" applyBorder="1" applyAlignment="1">
      <alignment horizontal="center" vertical="center"/>
    </xf>
    <xf numFmtId="0" fontId="138" fillId="0" borderId="0" xfId="0" applyFont="1" applyFill="1" applyBorder="1" applyAlignment="1">
      <alignment vertical="center"/>
    </xf>
    <xf numFmtId="0" fontId="146" fillId="0" borderId="0" xfId="0" applyFont="1" applyFill="1" applyBorder="1" applyAlignment="1">
      <alignment vertical="center"/>
    </xf>
    <xf numFmtId="43" fontId="150" fillId="0" borderId="0" xfId="1" applyNumberFormat="1" applyFont="1" applyFill="1" applyBorder="1" applyAlignment="1">
      <alignment vertical="center"/>
    </xf>
    <xf numFmtId="44" fontId="178" fillId="0" borderId="0" xfId="1" applyNumberFormat="1" applyFont="1" applyFill="1" applyBorder="1" applyAlignment="1">
      <alignment horizontal="center"/>
    </xf>
    <xf numFmtId="0" fontId="138" fillId="0" borderId="0" xfId="0" applyFont="1" applyFill="1" applyAlignment="1">
      <alignment vertical="center"/>
    </xf>
    <xf numFmtId="49" fontId="9" fillId="0" borderId="0" xfId="0" applyNumberFormat="1" applyFont="1" applyFill="1" applyBorder="1" applyAlignment="1">
      <alignment horizontal="center" vertical="center"/>
    </xf>
    <xf numFmtId="43" fontId="150" fillId="0" borderId="0" xfId="1" applyNumberFormat="1" applyFont="1" applyFill="1" applyBorder="1" applyAlignment="1">
      <alignment horizontal="center" vertical="center"/>
    </xf>
    <xf numFmtId="43" fontId="178" fillId="0" borderId="0" xfId="1" applyNumberFormat="1" applyFont="1" applyFill="1" applyBorder="1" applyAlignment="1">
      <alignment horizontal="center" vertical="center"/>
    </xf>
    <xf numFmtId="43" fontId="161" fillId="0" borderId="0" xfId="0" applyNumberFormat="1" applyFont="1" applyFill="1" applyBorder="1" applyAlignment="1">
      <alignment vertical="center"/>
    </xf>
    <xf numFmtId="0" fontId="60" fillId="0" borderId="0" xfId="0" applyFont="1" applyFill="1" applyBorder="1" applyAlignment="1">
      <alignment vertical="center"/>
    </xf>
    <xf numFmtId="43" fontId="148" fillId="0" borderId="5" xfId="0" quotePrefix="1" applyNumberFormat="1" applyFont="1" applyBorder="1" applyAlignment="1">
      <alignment horizontal="center"/>
    </xf>
    <xf numFmtId="0" fontId="0" fillId="0" borderId="0" xfId="0" applyFont="1" applyFill="1" applyAlignment="1">
      <alignment vertical="center"/>
    </xf>
    <xf numFmtId="43" fontId="178" fillId="17" borderId="0" xfId="1" applyNumberFormat="1" applyFont="1" applyFill="1" applyBorder="1" applyAlignment="1">
      <alignment horizontal="center"/>
    </xf>
    <xf numFmtId="43" fontId="3" fillId="17" borderId="0" xfId="1" applyNumberFormat="1" applyFont="1" applyFill="1" applyBorder="1"/>
    <xf numFmtId="43" fontId="178" fillId="40" borderId="0" xfId="1" applyNumberFormat="1" applyFont="1" applyFill="1" applyBorder="1" applyAlignment="1">
      <alignment horizontal="center"/>
    </xf>
    <xf numFmtId="49" fontId="84" fillId="0" borderId="0" xfId="0" applyNumberFormat="1" applyFont="1" applyFill="1" applyBorder="1" applyAlignment="1">
      <alignment horizontal="center" vertical="center"/>
    </xf>
    <xf numFmtId="43" fontId="293" fillId="8" borderId="0" xfId="1" applyNumberFormat="1" applyFont="1" applyFill="1" applyBorder="1" applyAlignment="1">
      <alignment horizontal="center" vertical="center"/>
    </xf>
    <xf numFmtId="43" fontId="294" fillId="8" borderId="0" xfId="1" applyNumberFormat="1" applyFont="1" applyFill="1" applyBorder="1" applyAlignment="1">
      <alignment horizontal="center" vertical="center"/>
    </xf>
    <xf numFmtId="0" fontId="24" fillId="38" borderId="0" xfId="0" applyFont="1" applyFill="1" applyAlignment="1">
      <alignment vertical="center"/>
    </xf>
    <xf numFmtId="43" fontId="293" fillId="41" borderId="0" xfId="1" applyNumberFormat="1" applyFont="1" applyFill="1" applyBorder="1" applyAlignment="1">
      <alignment horizontal="center" vertical="center"/>
    </xf>
    <xf numFmtId="43" fontId="294" fillId="41" borderId="0" xfId="1" applyNumberFormat="1" applyFont="1" applyFill="1" applyBorder="1" applyAlignment="1">
      <alignment horizontal="center" vertical="center"/>
    </xf>
    <xf numFmtId="0" fontId="24" fillId="42" borderId="0" xfId="0" applyFont="1" applyFill="1" applyAlignment="1">
      <alignment vertical="center"/>
    </xf>
    <xf numFmtId="43" fontId="24" fillId="38" borderId="0" xfId="0" applyNumberFormat="1" applyFont="1" applyFill="1" applyAlignment="1">
      <alignment vertical="center"/>
    </xf>
    <xf numFmtId="0" fontId="60" fillId="0" borderId="38" xfId="0" applyFont="1" applyFill="1" applyBorder="1" applyAlignment="1">
      <alignment vertical="center"/>
    </xf>
    <xf numFmtId="49" fontId="176" fillId="0" borderId="38" xfId="0" applyNumberFormat="1" applyFont="1" applyFill="1" applyBorder="1" applyAlignment="1">
      <alignment vertical="center"/>
    </xf>
    <xf numFmtId="0" fontId="0" fillId="0" borderId="38" xfId="0" applyFont="1" applyFill="1" applyBorder="1" applyAlignment="1">
      <alignment vertical="center"/>
    </xf>
    <xf numFmtId="0" fontId="138" fillId="0" borderId="38" xfId="0" applyFont="1" applyBorder="1" applyAlignment="1">
      <alignment vertical="center"/>
    </xf>
    <xf numFmtId="0" fontId="24" fillId="42" borderId="0" xfId="0" applyFont="1" applyFill="1" applyAlignment="1">
      <alignment horizontal="center" vertical="center"/>
    </xf>
    <xf numFmtId="0" fontId="24" fillId="38" borderId="0" xfId="0" applyFont="1" applyFill="1" applyAlignment="1">
      <alignment horizontal="center" vertical="center"/>
    </xf>
    <xf numFmtId="43" fontId="50" fillId="0" borderId="0" xfId="0" applyNumberFormat="1" applyFont="1" applyBorder="1" applyAlignment="1">
      <alignment horizontal="center"/>
    </xf>
    <xf numFmtId="0" fontId="76" fillId="0" borderId="1" xfId="0" applyFont="1" applyBorder="1" applyAlignment="1">
      <alignment horizontal="left"/>
    </xf>
    <xf numFmtId="164" fontId="65" fillId="0" borderId="0" xfId="1" applyFont="1" applyBorder="1" applyAlignment="1">
      <alignment horizontal="center"/>
    </xf>
    <xf numFmtId="0" fontId="138" fillId="0" borderId="0" xfId="0" applyFont="1" applyAlignment="1">
      <alignment horizontal="center"/>
    </xf>
    <xf numFmtId="0" fontId="0" fillId="0" borderId="0" xfId="0" applyAlignment="1">
      <alignment horizontal="left"/>
    </xf>
    <xf numFmtId="43" fontId="3" fillId="0" borderId="260" xfId="3" applyNumberFormat="1" applyFont="1" applyBorder="1"/>
    <xf numFmtId="0" fontId="0" fillId="9" borderId="260" xfId="3" applyNumberFormat="1" applyFont="1" applyFill="1" applyBorder="1" applyAlignment="1"/>
    <xf numFmtId="44" fontId="132" fillId="0" borderId="46" xfId="1" applyNumberFormat="1" applyFont="1" applyBorder="1" applyAlignment="1">
      <alignment horizontal="center"/>
    </xf>
    <xf numFmtId="0" fontId="132" fillId="0" borderId="46" xfId="1" applyNumberFormat="1" applyFont="1" applyBorder="1" applyAlignment="1">
      <alignment horizontal="center"/>
    </xf>
    <xf numFmtId="0" fontId="132" fillId="0" borderId="103" xfId="1" applyNumberFormat="1" applyFont="1" applyBorder="1" applyAlignment="1">
      <alignment horizontal="center"/>
    </xf>
    <xf numFmtId="43" fontId="289" fillId="0" borderId="330" xfId="0" quotePrefix="1" applyNumberFormat="1" applyFont="1" applyBorder="1" applyAlignment="1">
      <alignment horizontal="center"/>
    </xf>
    <xf numFmtId="43" fontId="289" fillId="35" borderId="127" xfId="0" quotePrefix="1" applyNumberFormat="1" applyFont="1" applyFill="1" applyBorder="1" applyAlignment="1">
      <alignment horizontal="center"/>
    </xf>
    <xf numFmtId="43" fontId="143" fillId="0" borderId="0" xfId="1" applyNumberFormat="1" applyFont="1" applyFill="1" applyBorder="1" applyAlignment="1">
      <alignment vertical="center"/>
    </xf>
    <xf numFmtId="164" fontId="140" fillId="0" borderId="0" xfId="1" applyFont="1" applyFill="1" applyBorder="1" applyAlignment="1">
      <alignment vertical="center"/>
    </xf>
    <xf numFmtId="0" fontId="140" fillId="0" borderId="0" xfId="0" applyFont="1" applyBorder="1" applyAlignment="1">
      <alignment vertical="center"/>
    </xf>
    <xf numFmtId="0" fontId="135" fillId="0" borderId="0" xfId="0" applyFont="1" applyAlignment="1">
      <alignment vertical="center"/>
    </xf>
    <xf numFmtId="0" fontId="32" fillId="0" borderId="210" xfId="0" applyFont="1" applyBorder="1" applyAlignment="1">
      <alignment vertical="center"/>
    </xf>
    <xf numFmtId="0" fontId="32" fillId="0" borderId="210" xfId="0" applyFont="1" applyBorder="1" applyAlignment="1">
      <alignment horizontal="center" vertical="center"/>
    </xf>
    <xf numFmtId="0" fontId="32" fillId="0" borderId="214" xfId="0" applyFont="1" applyBorder="1" applyAlignment="1">
      <alignment vertical="center"/>
    </xf>
    <xf numFmtId="43" fontId="32" fillId="0" borderId="0" xfId="1" applyNumberFormat="1" applyFont="1" applyBorder="1" applyAlignment="1">
      <alignment vertical="center"/>
    </xf>
    <xf numFmtId="0" fontId="32" fillId="0" borderId="447" xfId="0" applyFont="1" applyBorder="1" applyAlignment="1">
      <alignment vertical="center"/>
    </xf>
    <xf numFmtId="0" fontId="140" fillId="0" borderId="44" xfId="0" applyFont="1" applyBorder="1" applyAlignment="1">
      <alignment horizontal="center" vertical="center"/>
    </xf>
    <xf numFmtId="164" fontId="140" fillId="0" borderId="44" xfId="1" applyFont="1" applyBorder="1" applyAlignment="1">
      <alignment horizontal="center" vertical="center"/>
    </xf>
    <xf numFmtId="43" fontId="32" fillId="0" borderId="0" xfId="0" applyNumberFormat="1" applyFont="1" applyBorder="1" applyAlignment="1">
      <alignment vertical="center"/>
    </xf>
    <xf numFmtId="0" fontId="32" fillId="0" borderId="219" xfId="0" applyFont="1" applyBorder="1" applyAlignment="1">
      <alignment vertical="center"/>
    </xf>
    <xf numFmtId="0" fontId="140" fillId="0" borderId="220" xfId="0" applyFont="1" applyBorder="1" applyAlignment="1">
      <alignment horizontal="center" vertical="center"/>
    </xf>
    <xf numFmtId="0" fontId="60" fillId="0" borderId="61" xfId="1" applyNumberFormat="1" applyFont="1" applyBorder="1" applyAlignment="1">
      <alignment horizontal="center" vertical="center"/>
    </xf>
    <xf numFmtId="0" fontId="32" fillId="0" borderId="230" xfId="0" applyFont="1" applyBorder="1" applyAlignment="1">
      <alignment horizontal="center" vertical="center"/>
    </xf>
    <xf numFmtId="0" fontId="60" fillId="0" borderId="230" xfId="0" applyFont="1" applyBorder="1" applyAlignment="1">
      <alignment horizontal="center" vertical="center"/>
    </xf>
    <xf numFmtId="0" fontId="73" fillId="0" borderId="7" xfId="0" applyFont="1" applyBorder="1" applyAlignment="1">
      <alignment horizontal="left" vertical="center"/>
    </xf>
    <xf numFmtId="0" fontId="60" fillId="0" borderId="45" xfId="0" applyFont="1" applyBorder="1" applyAlignment="1">
      <alignment horizontal="center" vertical="center"/>
    </xf>
    <xf numFmtId="0" fontId="32" fillId="0" borderId="38" xfId="0" applyFont="1" applyBorder="1" applyAlignment="1">
      <alignment horizontal="center" vertical="center"/>
    </xf>
    <xf numFmtId="43" fontId="23" fillId="0" borderId="222" xfId="0" applyNumberFormat="1" applyFont="1" applyBorder="1" applyAlignment="1">
      <alignment horizontal="center" vertical="center"/>
    </xf>
    <xf numFmtId="43" fontId="206" fillId="0" borderId="67" xfId="1" applyNumberFormat="1" applyFont="1" applyBorder="1" applyAlignment="1">
      <alignment vertical="center"/>
    </xf>
    <xf numFmtId="0" fontId="124" fillId="0" borderId="0" xfId="0" applyFont="1" applyBorder="1" applyAlignment="1">
      <alignment vertical="center"/>
    </xf>
    <xf numFmtId="43" fontId="23" fillId="0" borderId="0" xfId="0" applyNumberFormat="1" applyFont="1" applyBorder="1" applyAlignment="1">
      <alignment vertical="center"/>
    </xf>
    <xf numFmtId="0" fontId="23" fillId="0" borderId="59" xfId="0" applyFont="1" applyBorder="1" applyAlignment="1">
      <alignment vertical="center"/>
    </xf>
    <xf numFmtId="0" fontId="23" fillId="0" borderId="68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219" xfId="0" applyFont="1" applyBorder="1" applyAlignment="1">
      <alignment vertical="center"/>
    </xf>
    <xf numFmtId="43" fontId="148" fillId="0" borderId="311" xfId="0" applyNumberFormat="1" applyFont="1" applyBorder="1" applyAlignment="1">
      <alignment horizontal="center" vertical="center"/>
    </xf>
    <xf numFmtId="43" fontId="289" fillId="0" borderId="311" xfId="0" quotePrefix="1" applyNumberFormat="1" applyFont="1" applyBorder="1" applyAlignment="1">
      <alignment horizontal="center" vertical="center"/>
    </xf>
    <xf numFmtId="43" fontId="289" fillId="0" borderId="311" xfId="0" applyNumberFormat="1" applyFont="1" applyBorder="1" applyAlignment="1">
      <alignment horizontal="center" vertical="center"/>
    </xf>
    <xf numFmtId="43" fontId="289" fillId="35" borderId="127" xfId="0" quotePrefix="1" applyNumberFormat="1" applyFont="1" applyFill="1" applyBorder="1" applyAlignment="1">
      <alignment horizontal="center" vertical="center"/>
    </xf>
    <xf numFmtId="43" fontId="289" fillId="35" borderId="127" xfId="0" applyNumberFormat="1" applyFont="1" applyFill="1" applyBorder="1" applyAlignment="1">
      <alignment horizontal="center" vertical="center"/>
    </xf>
    <xf numFmtId="43" fontId="23" fillId="0" borderId="0" xfId="1" applyNumberFormat="1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2" fontId="54" fillId="7" borderId="452" xfId="1" applyNumberFormat="1" applyFont="1" applyFill="1" applyBorder="1" applyAlignment="1">
      <alignment vertical="center"/>
    </xf>
    <xf numFmtId="2" fontId="23" fillId="0" borderId="103" xfId="1" applyNumberFormat="1" applyFont="1" applyBorder="1" applyAlignment="1">
      <alignment vertical="center"/>
    </xf>
    <xf numFmtId="0" fontId="23" fillId="0" borderId="40" xfId="0" applyFont="1" applyBorder="1" applyAlignment="1">
      <alignment vertical="center"/>
    </xf>
    <xf numFmtId="43" fontId="23" fillId="0" borderId="0" xfId="0" applyNumberFormat="1" applyFont="1" applyFill="1" applyBorder="1" applyAlignment="1">
      <alignment vertical="center"/>
    </xf>
    <xf numFmtId="43" fontId="23" fillId="0" borderId="453" xfId="0" applyNumberFormat="1" applyFont="1" applyFill="1" applyBorder="1" applyAlignment="1">
      <alignment vertical="center"/>
    </xf>
    <xf numFmtId="0" fontId="138" fillId="0" borderId="40" xfId="0" applyFont="1" applyBorder="1" applyAlignment="1">
      <alignment vertical="center"/>
    </xf>
    <xf numFmtId="43" fontId="22" fillId="0" borderId="454" xfId="0" applyNumberFormat="1" applyFont="1" applyFill="1" applyBorder="1" applyAlignment="1">
      <alignment horizontal="center" vertical="center"/>
    </xf>
    <xf numFmtId="0" fontId="23" fillId="0" borderId="40" xfId="0" applyFont="1" applyFill="1" applyBorder="1" applyAlignment="1">
      <alignment vertical="center"/>
    </xf>
    <xf numFmtId="43" fontId="23" fillId="0" borderId="453" xfId="0" applyNumberFormat="1" applyFont="1" applyBorder="1" applyAlignment="1">
      <alignment vertical="center"/>
    </xf>
    <xf numFmtId="43" fontId="23" fillId="0" borderId="454" xfId="0" applyNumberFormat="1" applyFont="1" applyBorder="1" applyAlignment="1">
      <alignment vertical="center"/>
    </xf>
    <xf numFmtId="0" fontId="23" fillId="0" borderId="455" xfId="0" applyFont="1" applyBorder="1" applyAlignment="1">
      <alignment vertical="center"/>
    </xf>
    <xf numFmtId="43" fontId="290" fillId="0" borderId="218" xfId="1" applyNumberFormat="1" applyFont="1" applyFill="1" applyBorder="1" applyAlignment="1">
      <alignment vertical="center"/>
    </xf>
    <xf numFmtId="44" fontId="32" fillId="0" borderId="0" xfId="1" applyNumberFormat="1" applyFont="1" applyBorder="1" applyAlignment="1">
      <alignment vertical="center"/>
    </xf>
    <xf numFmtId="44" fontId="32" fillId="0" borderId="0" xfId="0" applyNumberFormat="1" applyFont="1" applyBorder="1" applyAlignment="1">
      <alignment vertical="center"/>
    </xf>
    <xf numFmtId="44" fontId="32" fillId="0" borderId="0" xfId="0" applyNumberFormat="1" applyFont="1" applyFill="1" applyBorder="1" applyAlignment="1">
      <alignment vertical="center"/>
    </xf>
    <xf numFmtId="44" fontId="291" fillId="0" borderId="0" xfId="0" applyNumberFormat="1" applyFont="1" applyFill="1" applyBorder="1" applyAlignment="1">
      <alignment horizontal="center" vertical="center"/>
    </xf>
    <xf numFmtId="44" fontId="291" fillId="0" borderId="0" xfId="0" applyNumberFormat="1" applyFont="1" applyFill="1" applyBorder="1" applyAlignment="1">
      <alignment vertical="center"/>
    </xf>
    <xf numFmtId="43" fontId="23" fillId="0" borderId="218" xfId="0" applyNumberFormat="1" applyFont="1" applyBorder="1" applyAlignment="1">
      <alignment vertical="center"/>
    </xf>
    <xf numFmtId="43" fontId="23" fillId="0" borderId="0" xfId="1" applyNumberFormat="1" applyFont="1" applyFill="1" applyBorder="1" applyAlignment="1">
      <alignment vertical="center"/>
    </xf>
    <xf numFmtId="49" fontId="143" fillId="0" borderId="0" xfId="0" applyNumberFormat="1" applyFont="1" applyBorder="1" applyAlignment="1">
      <alignment vertical="center"/>
    </xf>
    <xf numFmtId="43" fontId="32" fillId="15" borderId="38" xfId="0" applyNumberFormat="1" applyFont="1" applyFill="1" applyBorder="1" applyAlignment="1">
      <alignment vertical="center"/>
    </xf>
    <xf numFmtId="49" fontId="126" fillId="0" borderId="45" xfId="0" applyNumberFormat="1" applyFont="1" applyBorder="1" applyAlignment="1">
      <alignment vertical="center"/>
    </xf>
    <xf numFmtId="0" fontId="32" fillId="0" borderId="456" xfId="0" applyFont="1" applyBorder="1" applyAlignment="1">
      <alignment vertical="center"/>
    </xf>
    <xf numFmtId="0" fontId="32" fillId="0" borderId="61" xfId="1" applyNumberFormat="1" applyFont="1" applyBorder="1" applyAlignment="1">
      <alignment vertical="center"/>
    </xf>
    <xf numFmtId="49" fontId="293" fillId="0" borderId="218" xfId="0" applyNumberFormat="1" applyFont="1" applyBorder="1" applyAlignment="1">
      <alignment horizontal="center"/>
    </xf>
    <xf numFmtId="49" fontId="24" fillId="0" borderId="218" xfId="1" applyNumberFormat="1" applyFont="1" applyBorder="1" applyAlignment="1">
      <alignment horizontal="center"/>
    </xf>
    <xf numFmtId="49" fontId="24" fillId="0" borderId="218" xfId="0" applyNumberFormat="1" applyFont="1" applyBorder="1" applyAlignment="1">
      <alignment horizontal="center"/>
    </xf>
    <xf numFmtId="49" fontId="24" fillId="0" borderId="224" xfId="0" applyNumberFormat="1" applyFont="1" applyBorder="1"/>
    <xf numFmtId="49" fontId="24" fillId="0" borderId="218" xfId="0" applyNumberFormat="1" applyFont="1" applyBorder="1"/>
    <xf numFmtId="0" fontId="138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164" fontId="10" fillId="0" borderId="8" xfId="1" applyFont="1" applyBorder="1" applyAlignment="1"/>
    <xf numFmtId="43" fontId="10" fillId="39" borderId="0" xfId="0" applyNumberFormat="1" applyFont="1" applyFill="1" applyBorder="1"/>
    <xf numFmtId="43" fontId="132" fillId="0" borderId="5" xfId="1" applyNumberFormat="1" applyFont="1" applyBorder="1"/>
    <xf numFmtId="43" fontId="284" fillId="0" borderId="60" xfId="1" applyNumberFormat="1" applyFont="1" applyBorder="1"/>
    <xf numFmtId="0" fontId="0" fillId="0" borderId="0" xfId="0" applyProtection="1">
      <protection locked="0"/>
    </xf>
    <xf numFmtId="0" fontId="13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6" fillId="0" borderId="149" xfId="0" applyFont="1" applyBorder="1" applyAlignment="1" applyProtection="1">
      <alignment horizontal="left"/>
      <protection locked="0"/>
    </xf>
    <xf numFmtId="0" fontId="13" fillId="0" borderId="149" xfId="0" applyFont="1" applyBorder="1" applyAlignment="1" applyProtection="1">
      <alignment horizontal="left"/>
      <protection locked="0"/>
    </xf>
    <xf numFmtId="0" fontId="29" fillId="0" borderId="149" xfId="0" applyFont="1" applyBorder="1" applyAlignment="1" applyProtection="1">
      <alignment horizontal="center" vertical="center"/>
      <protection locked="0"/>
    </xf>
    <xf numFmtId="0" fontId="6" fillId="0" borderId="13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protection locked="0"/>
    </xf>
    <xf numFmtId="0" fontId="1" fillId="0" borderId="15" xfId="0" applyFont="1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0" fillId="0" borderId="158" xfId="0" applyFont="1" applyBorder="1" applyAlignment="1" applyProtection="1">
      <protection locked="0"/>
    </xf>
    <xf numFmtId="0" fontId="13" fillId="0" borderId="157" xfId="0" applyFont="1" applyBorder="1" applyAlignment="1" applyProtection="1">
      <protection locked="0"/>
    </xf>
    <xf numFmtId="164" fontId="296" fillId="2" borderId="157" xfId="1" applyFont="1" applyFill="1" applyBorder="1" applyAlignment="1" applyProtection="1">
      <alignment vertical="center"/>
      <protection locked="0"/>
    </xf>
    <xf numFmtId="44" fontId="5" fillId="2" borderId="156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Border="1" applyAlignment="1" applyProtection="1">
      <protection locked="0"/>
    </xf>
    <xf numFmtId="0" fontId="0" fillId="0" borderId="0" xfId="0" applyFont="1" applyBorder="1" applyProtection="1">
      <protection locked="0"/>
    </xf>
    <xf numFmtId="0" fontId="0" fillId="0" borderId="44" xfId="0" applyFont="1" applyBorder="1" applyAlignment="1" applyProtection="1">
      <alignment horizontal="left"/>
      <protection locked="0"/>
    </xf>
    <xf numFmtId="0" fontId="13" fillId="0" borderId="37" xfId="0" applyFont="1" applyBorder="1" applyAlignment="1" applyProtection="1">
      <alignment horizontal="left"/>
      <protection locked="0"/>
    </xf>
    <xf numFmtId="164" fontId="0" fillId="8" borderId="114" xfId="1" applyFont="1" applyFill="1" applyBorder="1" applyAlignment="1" applyProtection="1">
      <alignment vertical="center"/>
      <protection locked="0"/>
    </xf>
    <xf numFmtId="0" fontId="0" fillId="0" borderId="416" xfId="0" applyFont="1" applyBorder="1" applyAlignment="1" applyProtection="1">
      <protection locked="0"/>
    </xf>
    <xf numFmtId="0" fontId="0" fillId="0" borderId="417" xfId="0" applyFont="1" applyBorder="1" applyAlignment="1" applyProtection="1">
      <protection locked="0"/>
    </xf>
    <xf numFmtId="0" fontId="0" fillId="0" borderId="417" xfId="0" applyFont="1" applyBorder="1" applyProtection="1">
      <protection locked="0"/>
    </xf>
    <xf numFmtId="0" fontId="0" fillId="0" borderId="474" xfId="0" applyFont="1" applyBorder="1" applyAlignment="1" applyProtection="1">
      <alignment horizontal="left"/>
      <protection locked="0"/>
    </xf>
    <xf numFmtId="0" fontId="13" fillId="0" borderId="475" xfId="0" applyFont="1" applyBorder="1" applyAlignment="1" applyProtection="1">
      <alignment horizontal="left"/>
      <protection locked="0"/>
    </xf>
    <xf numFmtId="164" fontId="0" fillId="38" borderId="475" xfId="1" applyFont="1" applyFill="1" applyBorder="1" applyAlignment="1" applyProtection="1">
      <alignment vertical="center"/>
      <protection locked="0"/>
    </xf>
    <xf numFmtId="164" fontId="49" fillId="0" borderId="476" xfId="1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left"/>
      <protection locked="0"/>
    </xf>
    <xf numFmtId="164" fontId="292" fillId="0" borderId="114" xfId="1" applyFont="1" applyFill="1" applyBorder="1" applyAlignment="1" applyProtection="1">
      <alignment vertical="center"/>
      <protection locked="0"/>
    </xf>
    <xf numFmtId="0" fontId="0" fillId="0" borderId="385" xfId="0" applyFont="1" applyBorder="1" applyAlignment="1" applyProtection="1">
      <protection locked="0"/>
    </xf>
    <xf numFmtId="0" fontId="0" fillId="0" borderId="210" xfId="0" applyFont="1" applyBorder="1" applyAlignment="1" applyProtection="1">
      <protection locked="0"/>
    </xf>
    <xf numFmtId="0" fontId="0" fillId="0" borderId="210" xfId="0" applyFont="1" applyBorder="1" applyProtection="1">
      <protection locked="0"/>
    </xf>
    <xf numFmtId="0" fontId="0" fillId="0" borderId="473" xfId="0" applyFont="1" applyBorder="1" applyAlignment="1" applyProtection="1">
      <alignment horizontal="left"/>
      <protection locked="0"/>
    </xf>
    <xf numFmtId="0" fontId="13" fillId="0" borderId="356" xfId="0" applyFont="1" applyBorder="1" applyAlignment="1" applyProtection="1">
      <alignment horizontal="left"/>
      <protection locked="0"/>
    </xf>
    <xf numFmtId="164" fontId="134" fillId="9" borderId="356" xfId="1" applyFont="1" applyFill="1" applyBorder="1" applyAlignment="1" applyProtection="1">
      <alignment vertical="center"/>
      <protection locked="0"/>
    </xf>
    <xf numFmtId="164" fontId="49" fillId="0" borderId="471" xfId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horizontal="right"/>
      <protection locked="0"/>
    </xf>
    <xf numFmtId="164" fontId="292" fillId="0" borderId="0" xfId="0" applyNumberFormat="1" applyFont="1" applyAlignment="1" applyProtection="1">
      <alignment vertical="center"/>
      <protection locked="0"/>
    </xf>
    <xf numFmtId="164" fontId="0" fillId="0" borderId="0" xfId="0" applyNumberFormat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164" fontId="134" fillId="9" borderId="37" xfId="1" applyFont="1" applyFill="1" applyBorder="1" applyAlignment="1" applyProtection="1">
      <alignment vertical="center"/>
      <protection locked="0"/>
    </xf>
    <xf numFmtId="164" fontId="0" fillId="0" borderId="114" xfId="1" applyFont="1" applyBorder="1" applyAlignment="1" applyProtection="1">
      <alignment vertical="center"/>
      <protection locked="0"/>
    </xf>
    <xf numFmtId="164" fontId="49" fillId="0" borderId="0" xfId="1" applyFont="1" applyBorder="1" applyProtection="1">
      <protection locked="0"/>
    </xf>
    <xf numFmtId="164" fontId="49" fillId="0" borderId="114" xfId="1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right"/>
      <protection locked="0"/>
    </xf>
    <xf numFmtId="164" fontId="66" fillId="0" borderId="37" xfId="1" applyFont="1" applyBorder="1" applyAlignment="1" applyProtection="1">
      <alignment vertical="center"/>
      <protection locked="0"/>
    </xf>
    <xf numFmtId="164" fontId="295" fillId="0" borderId="114" xfId="1" applyFont="1" applyBorder="1" applyAlignment="1" applyProtection="1">
      <alignment vertical="center"/>
      <protection locked="0"/>
    </xf>
    <xf numFmtId="164" fontId="134" fillId="0" borderId="37" xfId="1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left"/>
      <protection locked="0"/>
    </xf>
    <xf numFmtId="164" fontId="282" fillId="0" borderId="37" xfId="1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385" xfId="0" applyFont="1" applyBorder="1" applyAlignment="1" applyProtection="1">
      <alignment horizontal="right"/>
      <protection locked="0"/>
    </xf>
    <xf numFmtId="164" fontId="282" fillId="0" borderId="356" xfId="1" applyFont="1" applyBorder="1" applyAlignment="1" applyProtection="1">
      <alignment vertical="center"/>
      <protection locked="0"/>
    </xf>
    <xf numFmtId="164" fontId="0" fillId="0" borderId="471" xfId="1" applyFont="1" applyBorder="1" applyAlignment="1" applyProtection="1">
      <alignment vertical="center"/>
      <protection locked="0"/>
    </xf>
    <xf numFmtId="164" fontId="0" fillId="0" borderId="0" xfId="0" applyNumberFormat="1" applyAlignment="1" applyProtection="1">
      <alignment horizontal="left"/>
      <protection locked="0"/>
    </xf>
    <xf numFmtId="164" fontId="18" fillId="2" borderId="37" xfId="1" applyFont="1" applyFill="1" applyBorder="1" applyAlignment="1" applyProtection="1">
      <alignment vertical="center"/>
      <protection locked="0"/>
    </xf>
    <xf numFmtId="0" fontId="0" fillId="8" borderId="114" xfId="1" applyNumberFormat="1" applyFont="1" applyFill="1" applyBorder="1" applyAlignment="1" applyProtection="1">
      <alignment horizontal="left" vertical="center"/>
      <protection locked="0"/>
    </xf>
    <xf numFmtId="0" fontId="0" fillId="0" borderId="5" xfId="0" applyFont="1" applyFill="1" applyBorder="1" applyAlignment="1" applyProtection="1">
      <alignment horizontal="right"/>
      <protection locked="0"/>
    </xf>
    <xf numFmtId="49" fontId="0" fillId="0" borderId="44" xfId="0" applyNumberFormat="1" applyFont="1" applyBorder="1" applyAlignment="1" applyProtection="1">
      <alignment horizontal="left"/>
      <protection locked="0"/>
    </xf>
    <xf numFmtId="49" fontId="13" fillId="0" borderId="0" xfId="0" applyNumberFormat="1" applyFont="1" applyBorder="1" applyAlignment="1" applyProtection="1">
      <alignment horizontal="left"/>
      <protection locked="0"/>
    </xf>
    <xf numFmtId="164" fontId="292" fillId="0" borderId="0" xfId="1" applyFont="1" applyFill="1" applyBorder="1" applyAlignment="1" applyProtection="1">
      <alignment vertical="center"/>
      <protection locked="0"/>
    </xf>
    <xf numFmtId="164" fontId="0" fillId="2" borderId="201" xfId="1" applyFont="1" applyFill="1" applyBorder="1" applyAlignment="1" applyProtection="1">
      <alignment vertical="center"/>
      <protection locked="0"/>
    </xf>
    <xf numFmtId="0" fontId="0" fillId="0" borderId="5" xfId="0" applyFont="1" applyBorder="1" applyProtection="1">
      <protection locked="0"/>
    </xf>
    <xf numFmtId="0" fontId="13" fillId="0" borderId="53" xfId="0" applyFont="1" applyBorder="1" applyAlignment="1" applyProtection="1">
      <alignment horizontal="left"/>
      <protection locked="0"/>
    </xf>
    <xf numFmtId="164" fontId="0" fillId="9" borderId="467" xfId="1" applyFont="1" applyFill="1" applyBorder="1" applyAlignment="1" applyProtection="1">
      <alignment vertical="center"/>
      <protection locked="0"/>
    </xf>
    <xf numFmtId="164" fontId="0" fillId="0" borderId="193" xfId="1" applyFont="1" applyBorder="1" applyAlignment="1" applyProtection="1">
      <alignment vertical="center"/>
      <protection locked="0"/>
    </xf>
    <xf numFmtId="164" fontId="8" fillId="9" borderId="468" xfId="1" applyFont="1" applyFill="1" applyBorder="1" applyAlignment="1" applyProtection="1">
      <alignment vertical="center"/>
      <protection locked="0"/>
    </xf>
    <xf numFmtId="164" fontId="49" fillId="0" borderId="193" xfId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horizontal="right" vertical="top"/>
      <protection locked="0"/>
    </xf>
    <xf numFmtId="0" fontId="0" fillId="2" borderId="195" xfId="1" applyNumberFormat="1" applyFont="1" applyFill="1" applyBorder="1" applyAlignment="1" applyProtection="1">
      <alignment horizontal="left" vertical="center"/>
      <protection locked="0"/>
    </xf>
    <xf numFmtId="164" fontId="0" fillId="9" borderId="469" xfId="1" applyFont="1" applyFill="1" applyBorder="1" applyAlignment="1" applyProtection="1">
      <alignment vertical="center"/>
      <protection locked="0"/>
    </xf>
    <xf numFmtId="164" fontId="0" fillId="0" borderId="194" xfId="1" applyFont="1" applyBorder="1" applyAlignment="1" applyProtection="1">
      <alignment vertical="center"/>
      <protection locked="0"/>
    </xf>
    <xf numFmtId="0" fontId="0" fillId="0" borderId="194" xfId="0" applyBorder="1" applyAlignment="1" applyProtection="1">
      <alignment horizontal="left" vertical="center"/>
      <protection locked="0"/>
    </xf>
    <xf numFmtId="0" fontId="0" fillId="2" borderId="196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164" fontId="0" fillId="9" borderId="477" xfId="1" applyFont="1" applyFill="1" applyBorder="1" applyAlignment="1" applyProtection="1">
      <alignment vertical="center"/>
      <protection locked="0"/>
    </xf>
    <xf numFmtId="164" fontId="0" fillId="0" borderId="197" xfId="1" applyFont="1" applyBorder="1" applyAlignment="1" applyProtection="1">
      <alignment vertical="center"/>
      <protection locked="0"/>
    </xf>
    <xf numFmtId="0" fontId="0" fillId="0" borderId="17" xfId="0" applyFont="1" applyBorder="1" applyProtection="1">
      <protection locked="0"/>
    </xf>
    <xf numFmtId="0" fontId="0" fillId="0" borderId="38" xfId="0" applyFont="1" applyFill="1" applyBorder="1" applyAlignment="1" applyProtection="1">
      <alignment horizontal="left"/>
      <protection locked="0"/>
    </xf>
    <xf numFmtId="0" fontId="3" fillId="0" borderId="87" xfId="0" applyFont="1" applyBorder="1" applyAlignment="1" applyProtection="1">
      <alignment horizontal="left"/>
      <protection locked="0"/>
    </xf>
    <xf numFmtId="0" fontId="13" fillId="0" borderId="38" xfId="0" applyFont="1" applyBorder="1" applyAlignment="1" applyProtection="1">
      <alignment horizontal="left"/>
      <protection locked="0"/>
    </xf>
    <xf numFmtId="164" fontId="0" fillId="9" borderId="479" xfId="1" applyFont="1" applyFill="1" applyBorder="1" applyAlignment="1" applyProtection="1">
      <alignment vertical="center"/>
      <protection locked="0"/>
    </xf>
    <xf numFmtId="164" fontId="0" fillId="0" borderId="480" xfId="1" applyFont="1" applyBorder="1" applyAlignment="1" applyProtection="1">
      <alignment vertical="center"/>
      <protection locked="0"/>
    </xf>
    <xf numFmtId="0" fontId="0" fillId="0" borderId="44" xfId="0" applyBorder="1" applyAlignment="1" applyProtection="1">
      <alignment horizontal="left"/>
      <protection locked="0"/>
    </xf>
    <xf numFmtId="0" fontId="13" fillId="0" borderId="44" xfId="0" applyFont="1" applyBorder="1" applyAlignment="1" applyProtection="1">
      <alignment horizontal="left"/>
      <protection locked="0"/>
    </xf>
    <xf numFmtId="164" fontId="4" fillId="2" borderId="44" xfId="1" applyFont="1" applyFill="1" applyBorder="1" applyAlignment="1" applyProtection="1">
      <alignment vertical="center"/>
      <protection locked="0"/>
    </xf>
    <xf numFmtId="164" fontId="26" fillId="2" borderId="114" xfId="1" applyNumberFormat="1" applyFont="1" applyFill="1" applyBorder="1" applyAlignment="1" applyProtection="1">
      <alignment horizontal="left" vertical="center"/>
      <protection locked="0"/>
    </xf>
    <xf numFmtId="0" fontId="0" fillId="0" borderId="40" xfId="0" applyBorder="1" applyProtection="1">
      <protection locked="0"/>
    </xf>
    <xf numFmtId="0" fontId="0" fillId="0" borderId="175" xfId="0" applyBorder="1" applyProtection="1">
      <protection locked="0"/>
    </xf>
    <xf numFmtId="0" fontId="0" fillId="0" borderId="85" xfId="0" applyBorder="1" applyAlignment="1" applyProtection="1">
      <alignment horizontal="left"/>
      <protection locked="0"/>
    </xf>
    <xf numFmtId="0" fontId="13" fillId="0" borderId="357" xfId="0" applyFont="1" applyBorder="1" applyAlignment="1" applyProtection="1">
      <alignment horizontal="left"/>
      <protection locked="0"/>
    </xf>
    <xf numFmtId="164" fontId="0" fillId="0" borderId="357" xfId="1" applyFont="1" applyBorder="1" applyAlignment="1" applyProtection="1">
      <alignment vertical="center"/>
      <protection locked="0"/>
    </xf>
    <xf numFmtId="164" fontId="0" fillId="0" borderId="237" xfId="1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164" fontId="13" fillId="2" borderId="37" xfId="1" applyFont="1" applyFill="1" applyBorder="1" applyAlignment="1" applyProtection="1">
      <alignment vertical="center"/>
      <protection locked="0"/>
    </xf>
    <xf numFmtId="44" fontId="27" fillId="2" borderId="478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right"/>
      <protection locked="0"/>
    </xf>
    <xf numFmtId="0" fontId="50" fillId="0" borderId="0" xfId="0" applyFont="1" applyBorder="1" applyAlignment="1" applyProtection="1">
      <alignment horizontal="left"/>
      <protection locked="0"/>
    </xf>
    <xf numFmtId="164" fontId="292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164" fontId="134" fillId="9" borderId="0" xfId="1" applyFont="1" applyFill="1" applyBorder="1" applyAlignment="1" applyProtection="1">
      <alignment vertical="center"/>
      <protection locked="0"/>
    </xf>
    <xf numFmtId="164" fontId="58" fillId="0" borderId="0" xfId="1" applyNumberFormat="1" applyFont="1" applyFill="1" applyBorder="1" applyAlignment="1" applyProtection="1">
      <alignment horizontal="right" vertical="center"/>
      <protection locked="0"/>
    </xf>
    <xf numFmtId="164" fontId="292" fillId="0" borderId="37" xfId="1" applyFont="1" applyBorder="1" applyAlignment="1" applyProtection="1">
      <alignment vertical="center"/>
      <protection locked="0"/>
    </xf>
    <xf numFmtId="164" fontId="0" fillId="0" borderId="200" xfId="1" applyFont="1" applyFill="1" applyBorder="1" applyAlignment="1" applyProtection="1">
      <alignment vertical="center"/>
      <protection locked="0"/>
    </xf>
    <xf numFmtId="0" fontId="0" fillId="0" borderId="385" xfId="0" applyBorder="1" applyAlignment="1" applyProtection="1">
      <alignment horizontal="right"/>
      <protection locked="0"/>
    </xf>
    <xf numFmtId="0" fontId="0" fillId="0" borderId="210" xfId="0" applyBorder="1" applyAlignment="1" applyProtection="1">
      <alignment horizontal="left"/>
      <protection locked="0"/>
    </xf>
    <xf numFmtId="0" fontId="0" fillId="0" borderId="210" xfId="0" applyBorder="1" applyProtection="1">
      <protection locked="0"/>
    </xf>
    <xf numFmtId="0" fontId="0" fillId="0" borderId="210" xfId="0" applyBorder="1" applyAlignment="1" applyProtection="1">
      <alignment horizontal="right"/>
      <protection locked="0"/>
    </xf>
    <xf numFmtId="0" fontId="0" fillId="0" borderId="473" xfId="0" applyBorder="1" applyAlignment="1" applyProtection="1">
      <alignment horizontal="left"/>
      <protection locked="0"/>
    </xf>
    <xf numFmtId="164" fontId="0" fillId="9" borderId="356" xfId="1" applyFont="1" applyFill="1" applyBorder="1" applyAlignment="1" applyProtection="1">
      <alignment vertical="center"/>
      <protection locked="0"/>
    </xf>
    <xf numFmtId="164" fontId="0" fillId="0" borderId="451" xfId="1" applyFont="1" applyFill="1" applyBorder="1" applyAlignment="1" applyProtection="1">
      <alignment vertical="center"/>
      <protection locked="0"/>
    </xf>
    <xf numFmtId="164" fontId="90" fillId="2" borderId="37" xfId="1" applyFont="1" applyFill="1" applyBorder="1" applyAlignment="1" applyProtection="1">
      <alignment vertical="center"/>
      <protection locked="0"/>
    </xf>
    <xf numFmtId="44" fontId="10" fillId="2" borderId="114" xfId="1" applyNumberFormat="1" applyFont="1" applyFill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right"/>
      <protection locked="0"/>
    </xf>
    <xf numFmtId="164" fontId="282" fillId="0" borderId="37" xfId="1" applyFont="1" applyFill="1" applyBorder="1" applyAlignment="1" applyProtection="1">
      <alignment vertical="center"/>
      <protection locked="0"/>
    </xf>
    <xf numFmtId="164" fontId="292" fillId="0" borderId="198" xfId="1" applyFont="1" applyFill="1" applyBorder="1" applyAlignment="1" applyProtection="1">
      <alignment vertical="center"/>
      <protection locked="0"/>
    </xf>
    <xf numFmtId="0" fontId="0" fillId="0" borderId="5" xfId="0" applyBorder="1" applyProtection="1">
      <protection locked="0"/>
    </xf>
    <xf numFmtId="164" fontId="0" fillId="0" borderId="37" xfId="1" applyFont="1" applyBorder="1" applyAlignment="1" applyProtection="1">
      <alignment vertical="center"/>
      <protection locked="0"/>
    </xf>
    <xf numFmtId="164" fontId="0" fillId="0" borderId="44" xfId="1" applyFont="1" applyFill="1" applyBorder="1" applyAlignment="1" applyProtection="1">
      <alignment vertical="center"/>
      <protection locked="0"/>
    </xf>
    <xf numFmtId="164" fontId="49" fillId="0" borderId="44" xfId="1" applyFont="1" applyFill="1" applyBorder="1" applyAlignment="1" applyProtection="1">
      <alignment vertical="center"/>
      <protection locked="0"/>
    </xf>
    <xf numFmtId="0" fontId="0" fillId="0" borderId="184" xfId="0" applyBorder="1" applyProtection="1">
      <protection locked="0"/>
    </xf>
    <xf numFmtId="0" fontId="0" fillId="0" borderId="443" xfId="0" applyBorder="1" applyAlignment="1" applyProtection="1">
      <alignment horizontal="left"/>
      <protection locked="0"/>
    </xf>
    <xf numFmtId="0" fontId="0" fillId="0" borderId="443" xfId="0" applyBorder="1" applyProtection="1">
      <protection locked="0"/>
    </xf>
    <xf numFmtId="0" fontId="0" fillId="0" borderId="481" xfId="0" applyBorder="1" applyProtection="1">
      <protection locked="0"/>
    </xf>
    <xf numFmtId="0" fontId="0" fillId="0" borderId="0" xfId="0" applyFill="1" applyAlignment="1" applyProtection="1">
      <alignment vertical="center"/>
      <protection locked="0"/>
    </xf>
    <xf numFmtId="0" fontId="2" fillId="0" borderId="482" xfId="0" applyFont="1" applyBorder="1" applyAlignment="1" applyProtection="1">
      <alignment horizontal="right"/>
      <protection locked="0"/>
    </xf>
    <xf numFmtId="0" fontId="0" fillId="0" borderId="484" xfId="0" applyBorder="1" applyProtection="1">
      <protection locked="0"/>
    </xf>
    <xf numFmtId="164" fontId="0" fillId="0" borderId="114" xfId="1" applyFont="1" applyFill="1" applyBorder="1" applyAlignment="1" applyProtection="1">
      <alignment vertical="center"/>
      <protection locked="0"/>
    </xf>
    <xf numFmtId="0" fontId="65" fillId="0" borderId="210" xfId="0" applyFont="1" applyBorder="1" applyAlignment="1" applyProtection="1">
      <alignment horizontal="right"/>
      <protection locked="0"/>
    </xf>
    <xf numFmtId="0" fontId="13" fillId="0" borderId="210" xfId="0" applyFont="1" applyBorder="1" applyAlignment="1" applyProtection="1">
      <alignment horizontal="left"/>
      <protection locked="0"/>
    </xf>
    <xf numFmtId="164" fontId="134" fillId="9" borderId="210" xfId="1" applyFont="1" applyFill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44" fontId="10" fillId="0" borderId="44" xfId="1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164" fontId="58" fillId="0" borderId="44" xfId="1" applyFont="1" applyFill="1" applyBorder="1" applyAlignment="1" applyProtection="1">
      <alignment vertical="center"/>
      <protection locked="0"/>
    </xf>
    <xf numFmtId="164" fontId="295" fillId="0" borderId="87" xfId="1" applyFont="1" applyBorder="1" applyAlignment="1" applyProtection="1">
      <alignment vertical="center"/>
      <protection locked="0"/>
    </xf>
    <xf numFmtId="164" fontId="49" fillId="0" borderId="473" xfId="1" applyFont="1" applyFill="1" applyBorder="1" applyAlignment="1" applyProtection="1">
      <alignment vertical="center"/>
      <protection locked="0"/>
    </xf>
    <xf numFmtId="164" fontId="11" fillId="2" borderId="37" xfId="1" applyFont="1" applyFill="1" applyBorder="1" applyAlignment="1" applyProtection="1">
      <alignment vertical="center"/>
      <protection locked="0"/>
    </xf>
    <xf numFmtId="0" fontId="0" fillId="0" borderId="44" xfId="1" applyNumberFormat="1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right"/>
      <protection locked="0"/>
    </xf>
    <xf numFmtId="164" fontId="282" fillId="0" borderId="0" xfId="1" applyFont="1" applyBorder="1" applyAlignment="1" applyProtection="1">
      <alignment vertical="center"/>
      <protection locked="0"/>
    </xf>
    <xf numFmtId="164" fontId="0" fillId="0" borderId="44" xfId="1" applyFont="1" applyBorder="1" applyAlignment="1" applyProtection="1">
      <alignment vertical="center"/>
      <protection locked="0"/>
    </xf>
    <xf numFmtId="0" fontId="0" fillId="0" borderId="385" xfId="0" applyFill="1" applyBorder="1" applyAlignment="1" applyProtection="1">
      <alignment horizontal="right"/>
      <protection locked="0"/>
    </xf>
    <xf numFmtId="164" fontId="282" fillId="0" borderId="210" xfId="1" applyFont="1" applyBorder="1" applyAlignment="1" applyProtection="1">
      <alignment vertical="center"/>
      <protection locked="0"/>
    </xf>
    <xf numFmtId="164" fontId="0" fillId="0" borderId="473" xfId="1" applyFont="1" applyBorder="1" applyAlignment="1" applyProtection="1">
      <alignment vertical="center"/>
      <protection locked="0"/>
    </xf>
    <xf numFmtId="164" fontId="13" fillId="2" borderId="0" xfId="0" applyNumberFormat="1" applyFont="1" applyFill="1" applyBorder="1" applyAlignment="1" applyProtection="1">
      <alignment vertical="center"/>
      <protection locked="0"/>
    </xf>
    <xf numFmtId="164" fontId="0" fillId="0" borderId="0" xfId="0" applyNumberFormat="1" applyFill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164" fontId="134" fillId="0" borderId="0" xfId="1" applyFont="1" applyBorder="1" applyAlignment="1" applyProtection="1">
      <alignment vertical="center"/>
      <protection locked="0"/>
    </xf>
    <xf numFmtId="0" fontId="1" fillId="0" borderId="385" xfId="0" applyFont="1" applyBorder="1" applyAlignment="1" applyProtection="1">
      <alignment horizontal="left"/>
      <protection locked="0"/>
    </xf>
    <xf numFmtId="0" fontId="1" fillId="0" borderId="210" xfId="0" applyFont="1" applyBorder="1" applyAlignment="1" applyProtection="1">
      <alignment horizontal="left"/>
      <protection locked="0"/>
    </xf>
    <xf numFmtId="0" fontId="48" fillId="0" borderId="210" xfId="0" applyFont="1" applyBorder="1" applyAlignment="1" applyProtection="1">
      <alignment horizontal="left"/>
      <protection locked="0"/>
    </xf>
    <xf numFmtId="164" fontId="58" fillId="0" borderId="210" xfId="1" applyNumberFormat="1" applyFont="1" applyFill="1" applyBorder="1" applyAlignment="1" applyProtection="1">
      <alignment horizontal="right" vertical="center"/>
      <protection locked="0"/>
    </xf>
    <xf numFmtId="0" fontId="0" fillId="0" borderId="485" xfId="0" applyBorder="1" applyProtection="1">
      <protection locked="0"/>
    </xf>
    <xf numFmtId="0" fontId="13" fillId="0" borderId="486" xfId="0" applyFont="1" applyBorder="1" applyProtection="1">
      <protection locked="0"/>
    </xf>
    <xf numFmtId="164" fontId="26" fillId="2" borderId="486" xfId="1" applyFont="1" applyFill="1" applyBorder="1" applyAlignment="1" applyProtection="1">
      <alignment vertical="center"/>
      <protection locked="0"/>
    </xf>
    <xf numFmtId="164" fontId="5" fillId="2" borderId="487" xfId="1" applyFont="1" applyFill="1" applyBorder="1" applyAlignment="1" applyProtection="1">
      <alignment vertical="center"/>
      <protection locked="0"/>
    </xf>
    <xf numFmtId="0" fontId="0" fillId="0" borderId="0" xfId="0" applyFill="1" applyBorder="1" applyProtection="1">
      <protection locked="0"/>
    </xf>
    <xf numFmtId="0" fontId="13" fillId="0" borderId="0" xfId="0" applyFont="1" applyFill="1" applyBorder="1" applyProtection="1">
      <protection locked="0"/>
    </xf>
    <xf numFmtId="164" fontId="0" fillId="0" borderId="0" xfId="1" applyFont="1" applyFill="1" applyBorder="1" applyAlignment="1" applyProtection="1">
      <alignment vertical="center"/>
      <protection locked="0"/>
    </xf>
    <xf numFmtId="164" fontId="20" fillId="0" borderId="0" xfId="1" applyFont="1" applyFill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45" fillId="0" borderId="3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11" xfId="0" applyBorder="1" applyProtection="1">
      <protection locked="0"/>
    </xf>
    <xf numFmtId="0" fontId="13" fillId="0" borderId="11" xfId="0" applyFont="1" applyBorder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49" fontId="0" fillId="0" borderId="155" xfId="0" applyNumberFormat="1" applyBorder="1" applyAlignment="1" applyProtection="1">
      <alignment horizontal="center"/>
      <protection locked="0"/>
    </xf>
    <xf numFmtId="49" fontId="13" fillId="0" borderId="3" xfId="0" applyNumberFormat="1" applyFont="1" applyBorder="1" applyAlignment="1" applyProtection="1">
      <alignment horizontal="center"/>
      <protection locked="0"/>
    </xf>
    <xf numFmtId="44" fontId="10" fillId="2" borderId="154" xfId="1" applyNumberFormat="1" applyFont="1" applyFill="1" applyBorder="1" applyAlignment="1" applyProtection="1">
      <alignment horizontal="left" vertical="center"/>
      <protection locked="0"/>
    </xf>
    <xf numFmtId="0" fontId="0" fillId="0" borderId="114" xfId="0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44" fontId="2" fillId="0" borderId="37" xfId="1" applyNumberFormat="1" applyFont="1" applyFill="1" applyBorder="1" applyAlignment="1" applyProtection="1">
      <alignment vertical="center"/>
      <protection locked="0"/>
    </xf>
    <xf numFmtId="44" fontId="2" fillId="0" borderId="37" xfId="1" applyNumberFormat="1" applyFont="1" applyFill="1" applyBorder="1" applyAlignment="1" applyProtection="1">
      <alignment horizontal="left" vertical="center"/>
      <protection locked="0"/>
    </xf>
    <xf numFmtId="44" fontId="282" fillId="0" borderId="142" xfId="1" applyNumberFormat="1" applyFont="1" applyBorder="1" applyAlignment="1" applyProtection="1">
      <alignment vertical="center"/>
      <protection locked="0"/>
    </xf>
    <xf numFmtId="164" fontId="46" fillId="0" borderId="142" xfId="1" applyFont="1" applyBorder="1" applyAlignment="1" applyProtection="1">
      <alignment vertical="center"/>
      <protection locked="0"/>
    </xf>
    <xf numFmtId="44" fontId="292" fillId="0" borderId="142" xfId="1" applyNumberFormat="1" applyFont="1" applyBorder="1" applyAlignment="1" applyProtection="1">
      <alignment vertical="center"/>
      <protection locked="0"/>
    </xf>
    <xf numFmtId="164" fontId="0" fillId="0" borderId="142" xfId="1" applyFont="1" applyBorder="1" applyAlignment="1" applyProtection="1">
      <alignment vertical="center"/>
      <protection locked="0"/>
    </xf>
    <xf numFmtId="0" fontId="0" fillId="0" borderId="471" xfId="0" applyBorder="1" applyAlignment="1" applyProtection="1">
      <alignment horizontal="center"/>
      <protection locked="0"/>
    </xf>
    <xf numFmtId="0" fontId="13" fillId="0" borderId="210" xfId="0" applyFont="1" applyBorder="1" applyAlignment="1" applyProtection="1">
      <alignment horizontal="center"/>
      <protection locked="0"/>
    </xf>
    <xf numFmtId="44" fontId="0" fillId="0" borderId="470" xfId="1" applyNumberFormat="1" applyFont="1" applyBorder="1" applyAlignment="1" applyProtection="1">
      <alignment vertical="center"/>
      <protection locked="0"/>
    </xf>
    <xf numFmtId="164" fontId="0" fillId="0" borderId="470" xfId="1" applyFont="1" applyBorder="1" applyAlignment="1" applyProtection="1">
      <alignment vertical="center"/>
      <protection locked="0"/>
    </xf>
    <xf numFmtId="0" fontId="45" fillId="0" borderId="5" xfId="0" applyFont="1" applyBorder="1" applyAlignment="1" applyProtection="1">
      <alignment horizontal="left"/>
      <protection locked="0"/>
    </xf>
    <xf numFmtId="0" fontId="45" fillId="0" borderId="0" xfId="0" applyFont="1" applyBorder="1" applyAlignment="1" applyProtection="1">
      <alignment horizontal="left"/>
      <protection locked="0"/>
    </xf>
    <xf numFmtId="44" fontId="292" fillId="0" borderId="142" xfId="1" applyNumberFormat="1" applyFont="1" applyFill="1" applyBorder="1" applyAlignment="1" applyProtection="1">
      <alignment vertical="center"/>
      <protection locked="0"/>
    </xf>
    <xf numFmtId="164" fontId="0" fillId="0" borderId="142" xfId="1" applyFont="1" applyFill="1" applyBorder="1" applyAlignment="1" applyProtection="1">
      <alignment vertical="center"/>
      <protection locked="0"/>
    </xf>
    <xf numFmtId="44" fontId="0" fillId="0" borderId="142" xfId="1" applyNumberFormat="1" applyFont="1" applyBorder="1" applyAlignment="1" applyProtection="1">
      <alignment vertical="center"/>
      <protection locked="0"/>
    </xf>
    <xf numFmtId="44" fontId="0" fillId="0" borderId="356" xfId="1" applyNumberFormat="1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44" fontId="292" fillId="0" borderId="37" xfId="1" applyNumberFormat="1" applyFont="1" applyBorder="1" applyAlignment="1" applyProtection="1">
      <alignment vertical="center"/>
      <protection locked="0"/>
    </xf>
    <xf numFmtId="44" fontId="0" fillId="0" borderId="37" xfId="1" applyNumberFormat="1" applyFont="1" applyBorder="1" applyAlignment="1" applyProtection="1">
      <alignment vertical="center"/>
      <protection locked="0"/>
    </xf>
    <xf numFmtId="44" fontId="292" fillId="0" borderId="37" xfId="1" applyNumberFormat="1" applyFont="1" applyFill="1" applyBorder="1" applyAlignment="1" applyProtection="1">
      <alignment vertical="center"/>
      <protection locked="0"/>
    </xf>
    <xf numFmtId="164" fontId="0" fillId="0" borderId="142" xfId="1" applyNumberFormat="1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/>
      <protection locked="0"/>
    </xf>
    <xf numFmtId="0" fontId="45" fillId="0" borderId="188" xfId="0" applyFont="1" applyBorder="1" applyAlignment="1" applyProtection="1">
      <alignment horizontal="left"/>
      <protection locked="0"/>
    </xf>
    <xf numFmtId="0" fontId="45" fillId="0" borderId="277" xfId="0" applyFont="1" applyBorder="1" applyAlignment="1" applyProtection="1">
      <alignment horizontal="left"/>
      <protection locked="0"/>
    </xf>
    <xf numFmtId="0" fontId="0" fillId="0" borderId="277" xfId="0" applyBorder="1" applyProtection="1">
      <protection locked="0"/>
    </xf>
    <xf numFmtId="0" fontId="0" fillId="0" borderId="487" xfId="0" applyBorder="1" applyAlignment="1" applyProtection="1">
      <alignment horizontal="center"/>
      <protection locked="0"/>
    </xf>
    <xf numFmtId="0" fontId="13" fillId="0" borderId="277" xfId="0" applyFont="1" applyBorder="1" applyAlignment="1" applyProtection="1">
      <alignment horizontal="center"/>
      <protection locked="0"/>
    </xf>
    <xf numFmtId="44" fontId="292" fillId="0" borderId="496" xfId="1" applyNumberFormat="1" applyFont="1" applyFill="1" applyBorder="1" applyAlignment="1" applyProtection="1">
      <alignment vertical="center"/>
      <protection locked="0"/>
    </xf>
    <xf numFmtId="164" fontId="0" fillId="0" borderId="496" xfId="1" applyFont="1" applyBorder="1" applyAlignment="1" applyProtection="1">
      <alignment vertical="center"/>
      <protection locked="0"/>
    </xf>
    <xf numFmtId="44" fontId="0" fillId="17" borderId="37" xfId="1" applyNumberFormat="1" applyFont="1" applyFill="1" applyBorder="1" applyAlignment="1" applyProtection="1">
      <alignment vertical="center"/>
      <protection locked="0"/>
    </xf>
    <xf numFmtId="0" fontId="45" fillId="0" borderId="2" xfId="0" applyFont="1" applyBorder="1" applyAlignment="1" applyProtection="1">
      <protection locked="0"/>
    </xf>
    <xf numFmtId="0" fontId="45" fillId="0" borderId="3" xfId="0" applyFont="1" applyBorder="1" applyAlignment="1" applyProtection="1">
      <protection locked="0"/>
    </xf>
    <xf numFmtId="0" fontId="0" fillId="0" borderId="155" xfId="0" applyBorder="1" applyAlignment="1" applyProtection="1">
      <alignment horizontal="center"/>
      <protection locked="0"/>
    </xf>
    <xf numFmtId="0" fontId="13" fillId="0" borderId="3" xfId="0" applyFont="1" applyBorder="1" applyAlignment="1" applyProtection="1">
      <alignment horizontal="center"/>
      <protection locked="0"/>
    </xf>
    <xf numFmtId="44" fontId="292" fillId="2" borderId="154" xfId="1" applyNumberFormat="1" applyFont="1" applyFill="1" applyBorder="1" applyAlignment="1" applyProtection="1">
      <alignment vertical="center"/>
      <protection locked="0"/>
    </xf>
    <xf numFmtId="164" fontId="0" fillId="0" borderId="154" xfId="1" applyFon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right"/>
      <protection locked="0"/>
    </xf>
    <xf numFmtId="44" fontId="0" fillId="38" borderId="472" xfId="1" applyNumberFormat="1" applyFont="1" applyFill="1" applyBorder="1" applyAlignment="1" applyProtection="1">
      <alignment vertical="center"/>
      <protection locked="0"/>
    </xf>
    <xf numFmtId="0" fontId="45" fillId="0" borderId="5" xfId="0" applyFont="1" applyBorder="1" applyAlignment="1" applyProtection="1">
      <alignment horizontal="right"/>
      <protection locked="0"/>
    </xf>
    <xf numFmtId="44" fontId="26" fillId="17" borderId="154" xfId="1" applyNumberFormat="1" applyFont="1" applyFill="1" applyBorder="1" applyAlignment="1" applyProtection="1">
      <alignment vertical="center"/>
      <protection locked="0"/>
    </xf>
    <xf numFmtId="43" fontId="7" fillId="17" borderId="154" xfId="1" applyNumberFormat="1" applyFont="1" applyFill="1" applyBorder="1" applyAlignment="1" applyProtection="1">
      <alignment horizontal="left" vertical="center"/>
      <protection locked="0"/>
    </xf>
    <xf numFmtId="0" fontId="45" fillId="0" borderId="2" xfId="0" applyFont="1" applyBorder="1" applyAlignment="1" applyProtection="1">
      <alignment horizontal="left"/>
      <protection locked="0"/>
    </xf>
    <xf numFmtId="0" fontId="45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Protection="1">
      <protection locked="0"/>
    </xf>
    <xf numFmtId="44" fontId="65" fillId="2" borderId="154" xfId="1" applyNumberFormat="1" applyFont="1" applyFill="1" applyBorder="1" applyAlignment="1" applyProtection="1">
      <alignment vertical="center"/>
      <protection locked="0"/>
    </xf>
    <xf numFmtId="164" fontId="46" fillId="2" borderId="142" xfId="1" applyFont="1" applyFill="1" applyBorder="1" applyAlignment="1" applyProtection="1">
      <alignment vertical="center"/>
      <protection locked="0"/>
    </xf>
    <xf numFmtId="44" fontId="282" fillId="0" borderId="37" xfId="1" applyNumberFormat="1" applyFont="1" applyFill="1" applyBorder="1" applyAlignment="1" applyProtection="1">
      <alignment vertical="center"/>
      <protection locked="0"/>
    </xf>
    <xf numFmtId="164" fontId="292" fillId="0" borderId="37" xfId="1" applyFont="1" applyFill="1" applyBorder="1" applyAlignment="1" applyProtection="1">
      <alignment vertical="center"/>
      <protection locked="0"/>
    </xf>
    <xf numFmtId="0" fontId="47" fillId="0" borderId="0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44" fontId="134" fillId="38" borderId="472" xfId="1" applyNumberFormat="1" applyFont="1" applyFill="1" applyBorder="1" applyAlignment="1" applyProtection="1">
      <alignment vertical="center"/>
      <protection locked="0"/>
    </xf>
    <xf numFmtId="164" fontId="58" fillId="0" borderId="142" xfId="1" applyFont="1" applyBorder="1" applyAlignment="1" applyProtection="1">
      <alignment vertical="center"/>
      <protection locked="0"/>
    </xf>
    <xf numFmtId="0" fontId="0" fillId="0" borderId="443" xfId="0" applyBorder="1" applyAlignment="1" applyProtection="1">
      <alignment horizontal="right"/>
      <protection locked="0"/>
    </xf>
    <xf numFmtId="0" fontId="0" fillId="0" borderId="489" xfId="0" applyBorder="1" applyAlignment="1" applyProtection="1">
      <alignment horizontal="center"/>
      <protection locked="0"/>
    </xf>
    <xf numFmtId="0" fontId="13" fillId="0" borderId="443" xfId="0" applyFont="1" applyBorder="1" applyAlignment="1" applyProtection="1">
      <alignment horizontal="center"/>
      <protection locked="0"/>
    </xf>
    <xf numFmtId="44" fontId="0" fillId="38" borderId="179" xfId="0" applyNumberFormat="1" applyFill="1" applyBorder="1" applyAlignment="1" applyProtection="1">
      <alignment vertical="center"/>
      <protection locked="0"/>
    </xf>
    <xf numFmtId="164" fontId="46" fillId="0" borderId="488" xfId="1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right"/>
      <protection locked="0"/>
    </xf>
    <xf numFmtId="44" fontId="134" fillId="9" borderId="142" xfId="1" applyNumberFormat="1" applyFont="1" applyFill="1" applyBorder="1" applyAlignment="1" applyProtection="1">
      <alignment vertical="center"/>
      <protection locked="0"/>
    </xf>
    <xf numFmtId="0" fontId="0" fillId="0" borderId="385" xfId="0" applyBorder="1" applyProtection="1">
      <protection locked="0"/>
    </xf>
    <xf numFmtId="0" fontId="0" fillId="0" borderId="210" xfId="0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left"/>
      <protection locked="0"/>
    </xf>
    <xf numFmtId="164" fontId="292" fillId="0" borderId="142" xfId="1" applyFont="1" applyBorder="1" applyAlignment="1" applyProtection="1">
      <alignment vertical="center"/>
      <protection locked="0"/>
    </xf>
    <xf numFmtId="0" fontId="0" fillId="0" borderId="210" xfId="0" applyFill="1" applyBorder="1" applyAlignment="1" applyProtection="1">
      <alignment horizontal="left"/>
      <protection locked="0"/>
    </xf>
    <xf numFmtId="0" fontId="0" fillId="0" borderId="175" xfId="0" applyBorder="1" applyAlignment="1" applyProtection="1">
      <alignment horizontal="right"/>
      <protection locked="0"/>
    </xf>
    <xf numFmtId="0" fontId="0" fillId="0" borderId="40" xfId="0" applyFill="1" applyBorder="1" applyAlignment="1" applyProtection="1">
      <alignment horizontal="left"/>
      <protection locked="0"/>
    </xf>
    <xf numFmtId="0" fontId="0" fillId="0" borderId="237" xfId="0" applyBorder="1" applyAlignment="1" applyProtection="1">
      <alignment horizontal="center"/>
      <protection locked="0"/>
    </xf>
    <xf numFmtId="0" fontId="13" fillId="0" borderId="40" xfId="0" applyFont="1" applyBorder="1" applyAlignment="1" applyProtection="1">
      <alignment horizontal="center"/>
      <protection locked="0"/>
    </xf>
    <xf numFmtId="44" fontId="0" fillId="0" borderId="357" xfId="1" applyNumberFormat="1" applyFont="1" applyBorder="1" applyAlignment="1" applyProtection="1">
      <alignment vertical="center"/>
      <protection locked="0"/>
    </xf>
    <xf numFmtId="164" fontId="0" fillId="0" borderId="238" xfId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44" fontId="65" fillId="2" borderId="37" xfId="1" applyNumberFormat="1" applyFont="1" applyFill="1" applyBorder="1" applyAlignment="1" applyProtection="1">
      <alignment vertical="center"/>
      <protection locked="0"/>
    </xf>
    <xf numFmtId="44" fontId="297" fillId="9" borderId="37" xfId="1" applyNumberFormat="1" applyFont="1" applyFill="1" applyBorder="1" applyAlignment="1" applyProtection="1">
      <alignment vertical="center"/>
      <protection locked="0"/>
    </xf>
    <xf numFmtId="164" fontId="292" fillId="9" borderId="37" xfId="1" applyFont="1" applyFill="1" applyBorder="1" applyAlignment="1" applyProtection="1">
      <alignment vertical="center"/>
      <protection locked="0"/>
    </xf>
    <xf numFmtId="44" fontId="50" fillId="0" borderId="37" xfId="1" applyNumberFormat="1" applyFont="1" applyFill="1" applyBorder="1" applyAlignment="1" applyProtection="1">
      <alignment vertical="center"/>
      <protection locked="0"/>
    </xf>
    <xf numFmtId="164" fontId="299" fillId="0" borderId="142" xfId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left"/>
      <protection locked="0"/>
    </xf>
    <xf numFmtId="44" fontId="50" fillId="0" borderId="356" xfId="1" applyNumberFormat="1" applyFont="1" applyFill="1" applyBorder="1" applyAlignment="1" applyProtection="1">
      <alignment vertical="center"/>
      <protection locked="0"/>
    </xf>
    <xf numFmtId="164" fontId="0" fillId="0" borderId="356" xfId="1" applyFont="1" applyBorder="1" applyAlignment="1" applyProtection="1">
      <alignment vertical="center"/>
      <protection locked="0"/>
    </xf>
    <xf numFmtId="164" fontId="297" fillId="9" borderId="37" xfId="1" applyFont="1" applyFill="1" applyBorder="1" applyAlignment="1" applyProtection="1">
      <alignment vertical="center"/>
      <protection locked="0"/>
    </xf>
    <xf numFmtId="164" fontId="300" fillId="0" borderId="142" xfId="1" applyFont="1" applyBorder="1" applyAlignment="1" applyProtection="1">
      <alignment vertical="center"/>
      <protection locked="0"/>
    </xf>
    <xf numFmtId="164" fontId="46" fillId="0" borderId="470" xfId="1" applyFont="1" applyBorder="1" applyAlignment="1" applyProtection="1">
      <alignment vertical="center"/>
      <protection locked="0"/>
    </xf>
    <xf numFmtId="44" fontId="298" fillId="9" borderId="142" xfId="1" applyNumberFormat="1" applyFont="1" applyFill="1" applyBorder="1" applyAlignment="1" applyProtection="1">
      <alignment vertical="center"/>
      <protection locked="0"/>
    </xf>
    <xf numFmtId="164" fontId="292" fillId="9" borderId="142" xfId="1" applyFont="1" applyFill="1" applyBorder="1" applyAlignment="1" applyProtection="1">
      <alignment vertical="center"/>
      <protection locked="0"/>
    </xf>
    <xf numFmtId="44" fontId="2" fillId="0" borderId="37" xfId="1" applyNumberFormat="1" applyFont="1" applyBorder="1" applyAlignment="1" applyProtection="1">
      <alignment vertical="center"/>
      <protection locked="0"/>
    </xf>
    <xf numFmtId="0" fontId="0" fillId="0" borderId="213" xfId="0" applyBorder="1" applyAlignment="1" applyProtection="1">
      <alignment horizontal="right"/>
      <protection locked="0"/>
    </xf>
    <xf numFmtId="0" fontId="0" fillId="0" borderId="214" xfId="0" applyFill="1" applyBorder="1" applyAlignment="1" applyProtection="1">
      <alignment horizontal="left"/>
      <protection locked="0"/>
    </xf>
    <xf numFmtId="0" fontId="0" fillId="0" borderId="490" xfId="0" applyBorder="1" applyAlignment="1" applyProtection="1">
      <alignment horizontal="center"/>
      <protection locked="0"/>
    </xf>
    <xf numFmtId="0" fontId="13" fillId="0" borderId="214" xfId="0" applyFont="1" applyBorder="1" applyAlignment="1" applyProtection="1">
      <alignment horizontal="center"/>
      <protection locked="0"/>
    </xf>
    <xf numFmtId="44" fontId="298" fillId="9" borderId="491" xfId="1" applyNumberFormat="1" applyFont="1" applyFill="1" applyBorder="1" applyAlignment="1" applyProtection="1">
      <alignment vertical="center"/>
      <protection locked="0"/>
    </xf>
    <xf numFmtId="164" fontId="292" fillId="9" borderId="491" xfId="1" applyFont="1" applyFill="1" applyBorder="1" applyAlignment="1" applyProtection="1">
      <alignment vertical="center"/>
      <protection locked="0"/>
    </xf>
    <xf numFmtId="164" fontId="0" fillId="0" borderId="37" xfId="1" applyFont="1" applyFill="1" applyBorder="1" applyAlignment="1" applyProtection="1">
      <alignment vertical="center"/>
      <protection locked="0"/>
    </xf>
    <xf numFmtId="0" fontId="0" fillId="0" borderId="210" xfId="0" applyBorder="1" applyAlignment="1" applyProtection="1">
      <protection locked="0"/>
    </xf>
    <xf numFmtId="0" fontId="45" fillId="0" borderId="2" xfId="0" applyFont="1" applyBorder="1" applyProtection="1">
      <protection locked="0"/>
    </xf>
    <xf numFmtId="0" fontId="0" fillId="0" borderId="153" xfId="0" applyBorder="1" applyAlignment="1" applyProtection="1">
      <alignment horizontal="center"/>
      <protection locked="0"/>
    </xf>
    <xf numFmtId="0" fontId="13" fillId="0" borderId="265" xfId="0" applyFont="1" applyBorder="1" applyAlignment="1" applyProtection="1">
      <alignment horizontal="center"/>
      <protection locked="0"/>
    </xf>
    <xf numFmtId="44" fontId="0" fillId="0" borderId="152" xfId="1" applyNumberFormat="1" applyFont="1" applyBorder="1" applyAlignment="1" applyProtection="1">
      <alignment vertical="center"/>
      <protection locked="0"/>
    </xf>
    <xf numFmtId="164" fontId="0" fillId="0" borderId="152" xfId="1" applyFont="1" applyBorder="1" applyAlignment="1" applyProtection="1">
      <alignment vertic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45" fillId="0" borderId="8" xfId="0" applyFont="1" applyBorder="1" applyAlignment="1" applyProtection="1">
      <alignment horizontal="center"/>
      <protection locked="0"/>
    </xf>
    <xf numFmtId="0" fontId="45" fillId="0" borderId="150" xfId="0" applyFont="1" applyBorder="1" applyAlignment="1" applyProtection="1">
      <alignment horizontal="center"/>
      <protection locked="0"/>
    </xf>
    <xf numFmtId="49" fontId="0" fillId="0" borderId="151" xfId="0" applyNumberFormat="1" applyBorder="1" applyAlignment="1" applyProtection="1">
      <alignment horizontal="center"/>
      <protection locked="0"/>
    </xf>
    <xf numFmtId="49" fontId="13" fillId="0" borderId="8" xfId="0" applyNumberFormat="1" applyFont="1" applyBorder="1" applyAlignment="1" applyProtection="1">
      <alignment horizontal="center"/>
      <protection locked="0"/>
    </xf>
    <xf numFmtId="44" fontId="30" fillId="2" borderId="150" xfId="1" applyNumberFormat="1" applyFont="1" applyFill="1" applyBorder="1" applyAlignment="1" applyProtection="1">
      <alignment vertical="center"/>
      <protection locked="0"/>
    </xf>
    <xf numFmtId="164" fontId="5" fillId="2" borderId="150" xfId="1" applyFont="1" applyFill="1" applyBorder="1" applyAlignment="1" applyProtection="1">
      <alignment vertical="center"/>
      <protection locked="0"/>
    </xf>
    <xf numFmtId="164" fontId="292" fillId="0" borderId="0" xfId="0" applyNumberFormat="1" applyFont="1" applyAlignment="1" applyProtection="1">
      <alignment vertical="center"/>
    </xf>
    <xf numFmtId="164" fontId="292" fillId="0" borderId="114" xfId="1" applyFont="1" applyFill="1" applyBorder="1" applyAlignment="1" applyProtection="1">
      <alignment vertical="center"/>
    </xf>
    <xf numFmtId="0" fontId="26" fillId="0" borderId="7" xfId="0" applyFont="1" applyBorder="1" applyAlignment="1">
      <alignment horizontal="center" vertical="center"/>
    </xf>
    <xf numFmtId="0" fontId="26" fillId="0" borderId="381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96" fillId="0" borderId="11" xfId="0" applyFont="1" applyBorder="1" applyAlignment="1">
      <alignment horizontal="center"/>
    </xf>
    <xf numFmtId="43" fontId="27" fillId="0" borderId="0" xfId="0" applyNumberFormat="1" applyFont="1" applyFill="1" applyBorder="1" applyAlignment="1">
      <alignment horizontal="left" vertical="center"/>
    </xf>
    <xf numFmtId="0" fontId="30" fillId="0" borderId="182" xfId="0" applyFont="1" applyBorder="1" applyAlignment="1">
      <alignment horizontal="right"/>
    </xf>
    <xf numFmtId="0" fontId="30" fillId="0" borderId="180" xfId="1" applyNumberFormat="1" applyFont="1" applyBorder="1" applyAlignment="1">
      <alignment horizontal="right"/>
    </xf>
    <xf numFmtId="0" fontId="66" fillId="0" borderId="1" xfId="0" applyFont="1" applyBorder="1" applyAlignment="1">
      <alignment horizontal="right"/>
    </xf>
    <xf numFmtId="0" fontId="66" fillId="0" borderId="21" xfId="1" applyNumberFormat="1" applyFont="1" applyBorder="1" applyAlignment="1">
      <alignment horizontal="right"/>
    </xf>
    <xf numFmtId="0" fontId="66" fillId="0" borderId="21" xfId="0" applyFont="1" applyBorder="1" applyAlignment="1">
      <alignment horizontal="right"/>
    </xf>
    <xf numFmtId="0" fontId="66" fillId="0" borderId="385" xfId="0" applyFont="1" applyBorder="1" applyAlignment="1">
      <alignment horizontal="right"/>
    </xf>
    <xf numFmtId="0" fontId="66" fillId="0" borderId="10" xfId="0" applyFont="1" applyBorder="1" applyAlignment="1">
      <alignment horizontal="right"/>
    </xf>
    <xf numFmtId="0" fontId="284" fillId="0" borderId="210" xfId="0" applyFont="1" applyBorder="1" applyAlignment="1" applyProtection="1">
      <alignment horizontal="right"/>
      <protection locked="0"/>
    </xf>
    <xf numFmtId="164" fontId="65" fillId="0" borderId="37" xfId="1" applyFont="1" applyFill="1" applyBorder="1" applyAlignment="1" applyProtection="1">
      <alignment vertical="center"/>
      <protection locked="0"/>
    </xf>
    <xf numFmtId="164" fontId="0" fillId="0" borderId="114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90" fillId="0" borderId="1" xfId="0" applyFont="1" applyBorder="1" applyAlignment="1">
      <alignment horizontal="right"/>
    </xf>
    <xf numFmtId="0" fontId="90" fillId="0" borderId="7" xfId="0" applyFont="1" applyBorder="1" applyAlignment="1">
      <alignment horizontal="left"/>
    </xf>
    <xf numFmtId="44" fontId="29" fillId="2" borderId="154" xfId="1" applyNumberFormat="1" applyFont="1" applyFill="1" applyBorder="1" applyAlignment="1" applyProtection="1">
      <alignment vertical="center"/>
      <protection locked="0"/>
    </xf>
    <xf numFmtId="0" fontId="90" fillId="0" borderId="21" xfId="0" applyFont="1" applyFill="1" applyBorder="1" applyAlignment="1">
      <alignment horizontal="center"/>
    </xf>
    <xf numFmtId="0" fontId="90" fillId="0" borderId="2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278" fillId="0" borderId="386" xfId="0" applyFont="1" applyBorder="1" applyAlignment="1">
      <alignment horizontal="center"/>
    </xf>
    <xf numFmtId="0" fontId="288" fillId="0" borderId="400" xfId="0" applyFont="1" applyBorder="1" applyAlignment="1">
      <alignment horizontal="center"/>
    </xf>
    <xf numFmtId="0" fontId="288" fillId="0" borderId="394" xfId="0" applyFont="1" applyBorder="1" applyAlignment="1">
      <alignment horizontal="center"/>
    </xf>
    <xf numFmtId="0" fontId="288" fillId="0" borderId="21" xfId="0" applyFont="1" applyBorder="1" applyAlignment="1">
      <alignment horizontal="center"/>
    </xf>
    <xf numFmtId="0" fontId="301" fillId="0" borderId="324" xfId="0" applyFont="1" applyBorder="1" applyAlignment="1">
      <alignment horizontal="center"/>
    </xf>
    <xf numFmtId="0" fontId="288" fillId="0" borderId="182" xfId="0" applyFont="1" applyBorder="1" applyAlignment="1">
      <alignment horizontal="center"/>
    </xf>
    <xf numFmtId="0" fontId="288" fillId="0" borderId="11" xfId="0" applyFont="1" applyBorder="1" applyAlignment="1">
      <alignment horizontal="center"/>
    </xf>
    <xf numFmtId="0" fontId="288" fillId="0" borderId="437" xfId="0" applyFont="1" applyBorder="1" applyAlignment="1">
      <alignment horizontal="center"/>
    </xf>
    <xf numFmtId="0" fontId="90" fillId="0" borderId="11" xfId="0" applyFont="1" applyBorder="1" applyAlignment="1">
      <alignment horizontal="center"/>
    </xf>
    <xf numFmtId="0" fontId="13" fillId="0" borderId="39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401" xfId="0" applyFont="1" applyBorder="1" applyAlignment="1">
      <alignment horizontal="center"/>
    </xf>
    <xf numFmtId="0" fontId="90" fillId="0" borderId="324" xfId="0" applyFont="1" applyBorder="1" applyAlignment="1">
      <alignment horizontal="center"/>
    </xf>
    <xf numFmtId="0" fontId="13" fillId="0" borderId="400" xfId="0" applyFont="1" applyBorder="1" applyAlignment="1">
      <alignment horizontal="center"/>
    </xf>
    <xf numFmtId="0" fontId="13" fillId="0" borderId="272" xfId="0" applyFont="1" applyBorder="1" applyAlignment="1">
      <alignment horizontal="center" vertical="center"/>
    </xf>
    <xf numFmtId="0" fontId="13" fillId="0" borderId="400" xfId="0" applyFont="1" applyBorder="1" applyAlignment="1">
      <alignment horizontal="center" vertical="center"/>
    </xf>
    <xf numFmtId="0" fontId="13" fillId="0" borderId="386" xfId="0" applyFont="1" applyBorder="1" applyAlignment="1">
      <alignment horizontal="center" vertical="center"/>
    </xf>
    <xf numFmtId="43" fontId="242" fillId="0" borderId="0" xfId="0" applyNumberFormat="1" applyFont="1"/>
    <xf numFmtId="43" fontId="132" fillId="0" borderId="0" xfId="0" applyNumberFormat="1" applyFont="1"/>
    <xf numFmtId="0" fontId="12" fillId="0" borderId="0" xfId="0" applyFont="1"/>
    <xf numFmtId="0" fontId="11" fillId="0" borderId="0" xfId="0" applyFont="1" applyAlignment="1">
      <alignment horizontal="right"/>
    </xf>
    <xf numFmtId="43" fontId="132" fillId="0" borderId="40" xfId="0" applyNumberFormat="1" applyFont="1" applyBorder="1"/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21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430" xfId="0" applyFont="1" applyBorder="1" applyAlignment="1">
      <alignment horizontal="center" vertical="center"/>
    </xf>
    <xf numFmtId="0" fontId="302" fillId="0" borderId="1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401" xfId="0" applyFont="1" applyBorder="1" applyAlignment="1">
      <alignment horizontal="center" vertical="center"/>
    </xf>
    <xf numFmtId="0" fontId="302" fillId="0" borderId="184" xfId="0" applyFont="1" applyBorder="1" applyAlignment="1">
      <alignment horizontal="center" vertical="center"/>
    </xf>
    <xf numFmtId="0" fontId="302" fillId="0" borderId="5" xfId="0" applyFont="1" applyBorder="1" applyAlignment="1">
      <alignment horizontal="center" vertical="center"/>
    </xf>
    <xf numFmtId="0" fontId="302" fillId="0" borderId="438" xfId="0" applyFont="1" applyBorder="1" applyAlignment="1">
      <alignment horizontal="center" vertical="center"/>
    </xf>
    <xf numFmtId="0" fontId="302" fillId="0" borderId="188" xfId="0" applyFont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302" fillId="0" borderId="7" xfId="0" applyFont="1" applyBorder="1" applyAlignment="1">
      <alignment horizontal="center" vertical="center"/>
    </xf>
    <xf numFmtId="0" fontId="13" fillId="0" borderId="182" xfId="0" applyFont="1" applyBorder="1" applyAlignment="1">
      <alignment horizontal="center"/>
    </xf>
    <xf numFmtId="0" fontId="10" fillId="0" borderId="182" xfId="0" applyFont="1" applyBorder="1" applyAlignment="1">
      <alignment horizontal="center"/>
    </xf>
    <xf numFmtId="0" fontId="10" fillId="0" borderId="182" xfId="0" applyFont="1" applyBorder="1" applyAlignment="1">
      <alignment horizontal="left"/>
    </xf>
    <xf numFmtId="0" fontId="302" fillId="0" borderId="182" xfId="0" applyFont="1" applyBorder="1" applyAlignment="1">
      <alignment horizontal="center" vertical="center"/>
    </xf>
    <xf numFmtId="43" fontId="303" fillId="0" borderId="308" xfId="0" applyNumberFormat="1" applyFont="1" applyFill="1" applyBorder="1"/>
    <xf numFmtId="43" fontId="304" fillId="0" borderId="421" xfId="0" applyNumberFormat="1" applyFont="1" applyFill="1" applyBorder="1" applyAlignment="1">
      <alignment horizontal="center"/>
    </xf>
    <xf numFmtId="43" fontId="305" fillId="0" borderId="308" xfId="0" applyNumberFormat="1" applyFont="1" applyFill="1" applyBorder="1" applyAlignment="1">
      <alignment horizontal="center"/>
    </xf>
    <xf numFmtId="0" fontId="254" fillId="0" borderId="401" xfId="0" applyFont="1" applyBorder="1" applyAlignment="1">
      <alignment horizontal="center"/>
    </xf>
    <xf numFmtId="0" fontId="10" fillId="0" borderId="402" xfId="0" applyFont="1" applyFill="1" applyBorder="1" applyAlignment="1">
      <alignment horizontal="left"/>
    </xf>
    <xf numFmtId="0" fontId="132" fillId="0" borderId="16" xfId="0" applyFont="1" applyBorder="1" applyAlignment="1">
      <alignment horizontal="center"/>
    </xf>
    <xf numFmtId="0" fontId="132" fillId="0" borderId="17" xfId="0" applyFont="1" applyFill="1" applyBorder="1" applyAlignment="1">
      <alignment horizontal="left"/>
    </xf>
    <xf numFmtId="43" fontId="256" fillId="0" borderId="38" xfId="0" applyNumberFormat="1" applyFont="1" applyFill="1" applyBorder="1"/>
    <xf numFmtId="43" fontId="306" fillId="0" borderId="308" xfId="0" applyNumberFormat="1" applyFont="1" applyFill="1" applyBorder="1" applyAlignment="1">
      <alignment horizontal="center"/>
    </xf>
    <xf numFmtId="43" fontId="307" fillId="0" borderId="308" xfId="0" applyNumberFormat="1" applyFont="1" applyFill="1" applyBorder="1"/>
    <xf numFmtId="43" fontId="306" fillId="0" borderId="308" xfId="0" applyNumberFormat="1" applyFont="1" applyFill="1" applyBorder="1"/>
    <xf numFmtId="43" fontId="282" fillId="0" borderId="380" xfId="0" applyNumberFormat="1" applyFont="1" applyFill="1" applyBorder="1" applyAlignment="1">
      <alignment horizontal="center"/>
    </xf>
    <xf numFmtId="43" fontId="287" fillId="0" borderId="428" xfId="0" applyNumberFormat="1" applyFont="1" applyFill="1" applyBorder="1" applyAlignment="1">
      <alignment horizontal="center"/>
    </xf>
    <xf numFmtId="43" fontId="282" fillId="0" borderId="11" xfId="0" applyNumberFormat="1" applyFont="1" applyFill="1" applyBorder="1" applyAlignment="1">
      <alignment horizontal="center"/>
    </xf>
    <xf numFmtId="0" fontId="12" fillId="0" borderId="259" xfId="0" applyFont="1" applyBorder="1" applyAlignment="1">
      <alignment horizontal="center"/>
    </xf>
    <xf numFmtId="0" fontId="241" fillId="0" borderId="16" xfId="0" applyFont="1" applyBorder="1" applyAlignment="1">
      <alignment horizontal="center"/>
    </xf>
    <xf numFmtId="0" fontId="132" fillId="0" borderId="16" xfId="0" applyFont="1" applyBorder="1" applyAlignment="1">
      <alignment horizontal="right"/>
    </xf>
    <xf numFmtId="43" fontId="134" fillId="38" borderId="16" xfId="0" applyNumberFormat="1" applyFont="1" applyFill="1" applyBorder="1" applyAlignment="1">
      <alignment horizontal="center"/>
    </xf>
    <xf numFmtId="0" fontId="241" fillId="0" borderId="355" xfId="0" applyFont="1" applyBorder="1" applyAlignment="1">
      <alignment horizontal="center"/>
    </xf>
    <xf numFmtId="0" fontId="132" fillId="0" borderId="355" xfId="0" applyFont="1" applyBorder="1" applyAlignment="1">
      <alignment horizontal="right"/>
    </xf>
    <xf numFmtId="0" fontId="242" fillId="0" borderId="210" xfId="0" applyFont="1" applyBorder="1" applyAlignment="1">
      <alignment horizontal="center"/>
    </xf>
    <xf numFmtId="43" fontId="26" fillId="2" borderId="40" xfId="0" applyNumberFormat="1" applyFont="1" applyFill="1" applyBorder="1" applyAlignment="1">
      <alignment horizontal="center"/>
    </xf>
    <xf numFmtId="0" fontId="309" fillId="0" borderId="352" xfId="0" applyFont="1" applyBorder="1" applyAlignment="1">
      <alignment horizontal="center"/>
    </xf>
    <xf numFmtId="0" fontId="308" fillId="0" borderId="500" xfId="0" applyFont="1" applyBorder="1" applyAlignment="1">
      <alignment horizontal="left"/>
    </xf>
    <xf numFmtId="0" fontId="310" fillId="0" borderId="203" xfId="0" applyFont="1" applyBorder="1" applyAlignment="1">
      <alignment horizontal="center" vertical="center"/>
    </xf>
    <xf numFmtId="43" fontId="308" fillId="0" borderId="203" xfId="0" applyNumberFormat="1" applyFont="1" applyFill="1" applyBorder="1" applyAlignment="1">
      <alignment horizontal="center"/>
    </xf>
    <xf numFmtId="0" fontId="241" fillId="0" borderId="149" xfId="0" applyFont="1" applyBorder="1" applyAlignment="1">
      <alignment horizontal="center"/>
    </xf>
    <xf numFmtId="0" fontId="242" fillId="0" borderId="149" xfId="0" applyFont="1" applyBorder="1" applyAlignment="1">
      <alignment horizontal="left"/>
    </xf>
    <xf numFmtId="0" fontId="242" fillId="0" borderId="149" xfId="0" applyFont="1" applyBorder="1"/>
    <xf numFmtId="0" fontId="240" fillId="0" borderId="0" xfId="0" applyFont="1" applyAlignment="1">
      <alignment horizontal="center"/>
    </xf>
    <xf numFmtId="0" fontId="240" fillId="0" borderId="272" xfId="0" applyFont="1" applyBorder="1" applyAlignment="1">
      <alignment horizontal="center"/>
    </xf>
    <xf numFmtId="0" fontId="240" fillId="0" borderId="259" xfId="0" applyFont="1" applyBorder="1" applyAlignment="1">
      <alignment horizontal="center"/>
    </xf>
    <xf numFmtId="0" fontId="240" fillId="0" borderId="388" xfId="0" applyFont="1" applyBorder="1" applyAlignment="1">
      <alignment horizontal="center"/>
    </xf>
    <xf numFmtId="0" fontId="240" fillId="0" borderId="387" xfId="0" applyFont="1" applyBorder="1" applyAlignment="1">
      <alignment horizontal="center"/>
    </xf>
    <xf numFmtId="0" fontId="240" fillId="0" borderId="384" xfId="0" applyFont="1" applyBorder="1" applyAlignment="1">
      <alignment horizontal="center"/>
    </xf>
    <xf numFmtId="0" fontId="240" fillId="0" borderId="407" xfId="0" applyFont="1" applyBorder="1" applyAlignment="1">
      <alignment horizontal="center"/>
    </xf>
    <xf numFmtId="0" fontId="240" fillId="0" borderId="413" xfId="0" applyFont="1" applyBorder="1" applyAlignment="1">
      <alignment horizontal="center"/>
    </xf>
    <xf numFmtId="0" fontId="240" fillId="0" borderId="386" xfId="0" applyFont="1" applyBorder="1" applyAlignment="1">
      <alignment horizontal="center"/>
    </xf>
    <xf numFmtId="0" fontId="240" fillId="0" borderId="415" xfId="0" applyFont="1" applyBorder="1" applyAlignment="1">
      <alignment horizontal="center"/>
    </xf>
    <xf numFmtId="0" fontId="240" fillId="0" borderId="419" xfId="0" applyFont="1" applyBorder="1" applyAlignment="1">
      <alignment horizontal="center"/>
    </xf>
    <xf numFmtId="0" fontId="78" fillId="0" borderId="386" xfId="0" applyFont="1" applyBorder="1" applyAlignment="1">
      <alignment horizontal="center"/>
    </xf>
    <xf numFmtId="0" fontId="288" fillId="0" borderId="422" xfId="0" applyFont="1" applyBorder="1" applyAlignment="1">
      <alignment horizontal="center"/>
    </xf>
    <xf numFmtId="0" fontId="308" fillId="0" borderId="499" xfId="0" applyFont="1" applyBorder="1" applyAlignment="1">
      <alignment horizontal="center"/>
    </xf>
    <xf numFmtId="0" fontId="240" fillId="0" borderId="271" xfId="0" applyFont="1" applyBorder="1" applyAlignment="1">
      <alignment horizontal="center"/>
    </xf>
    <xf numFmtId="0" fontId="13" fillId="0" borderId="259" xfId="0" applyFont="1" applyBorder="1" applyAlignment="1">
      <alignment horizontal="center"/>
    </xf>
    <xf numFmtId="0" fontId="0" fillId="0" borderId="259" xfId="0" applyFont="1" applyBorder="1" applyAlignment="1">
      <alignment horizontal="center"/>
    </xf>
    <xf numFmtId="0" fontId="240" fillId="0" borderId="501" xfId="0" applyFont="1" applyBorder="1" applyAlignment="1">
      <alignment horizontal="center"/>
    </xf>
    <xf numFmtId="0" fontId="254" fillId="0" borderId="498" xfId="0" applyFont="1" applyBorder="1" applyAlignment="1">
      <alignment horizontal="center"/>
    </xf>
    <xf numFmtId="0" fontId="240" fillId="0" borderId="374" xfId="0" applyFont="1" applyBorder="1" applyAlignment="1">
      <alignment horizontal="center"/>
    </xf>
    <xf numFmtId="0" fontId="0" fillId="0" borderId="388" xfId="0" applyFont="1" applyBorder="1" applyAlignment="1">
      <alignment horizontal="center"/>
    </xf>
    <xf numFmtId="0" fontId="13" fillId="0" borderId="390" xfId="0" applyFont="1" applyBorder="1" applyAlignment="1">
      <alignment horizontal="center" vertical="center"/>
    </xf>
    <xf numFmtId="0" fontId="0" fillId="0" borderId="498" xfId="0" applyFont="1" applyBorder="1" applyAlignment="1">
      <alignment horizontal="center"/>
    </xf>
    <xf numFmtId="0" fontId="0" fillId="0" borderId="271" xfId="0" applyFont="1" applyBorder="1" applyAlignment="1">
      <alignment horizontal="center"/>
    </xf>
    <xf numFmtId="0" fontId="240" fillId="0" borderId="444" xfId="0" applyFont="1" applyBorder="1" applyAlignment="1">
      <alignment horizontal="center"/>
    </xf>
    <xf numFmtId="0" fontId="240" fillId="0" borderId="269" xfId="0" applyFont="1" applyBorder="1" applyAlignment="1">
      <alignment horizontal="left"/>
    </xf>
    <xf numFmtId="43" fontId="246" fillId="0" borderId="269" xfId="0" applyNumberFormat="1" applyFont="1" applyFill="1" applyBorder="1"/>
    <xf numFmtId="0" fontId="0" fillId="0" borderId="21" xfId="0" applyFont="1" applyBorder="1" applyAlignment="1">
      <alignment horizontal="right"/>
    </xf>
    <xf numFmtId="0" fontId="26" fillId="0" borderId="188" xfId="0" applyFont="1" applyBorder="1" applyAlignment="1">
      <alignment horizontal="center" vertical="center"/>
    </xf>
    <xf numFmtId="0" fontId="90" fillId="0" borderId="401" xfId="0" applyFont="1" applyBorder="1" applyAlignment="1">
      <alignment horizontal="center"/>
    </xf>
    <xf numFmtId="0" fontId="65" fillId="0" borderId="401" xfId="0" applyFont="1" applyBorder="1" applyAlignment="1">
      <alignment horizontal="center"/>
    </xf>
    <xf numFmtId="43" fontId="26" fillId="2" borderId="308" xfId="0" applyNumberFormat="1" applyFont="1" applyFill="1" applyBorder="1" applyAlignment="1">
      <alignment horizontal="left" vertical="center"/>
    </xf>
    <xf numFmtId="0" fontId="242" fillId="0" borderId="40" xfId="0" applyFont="1" applyBorder="1"/>
    <xf numFmtId="0" fontId="279" fillId="0" borderId="149" xfId="0" applyFont="1" applyBorder="1" applyAlignment="1">
      <alignment horizontal="center"/>
    </xf>
    <xf numFmtId="0" fontId="258" fillId="0" borderId="149" xfId="0" applyFont="1" applyBorder="1" applyAlignment="1">
      <alignment horizontal="left"/>
    </xf>
    <xf numFmtId="0" fontId="26" fillId="0" borderId="184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/>
    </xf>
    <xf numFmtId="0" fontId="247" fillId="0" borderId="16" xfId="0" applyFont="1" applyBorder="1" applyAlignment="1">
      <alignment horizontal="left"/>
    </xf>
    <xf numFmtId="0" fontId="279" fillId="0" borderId="16" xfId="0" applyFont="1" applyBorder="1" applyAlignment="1">
      <alignment horizontal="center"/>
    </xf>
    <xf numFmtId="0" fontId="258" fillId="0" borderId="16" xfId="0" applyFont="1" applyBorder="1" applyAlignment="1">
      <alignment horizontal="left"/>
    </xf>
    <xf numFmtId="0" fontId="288" fillId="0" borderId="505" xfId="0" applyFont="1" applyBorder="1" applyAlignment="1">
      <alignment horizontal="center"/>
    </xf>
    <xf numFmtId="0" fontId="279" fillId="0" borderId="505" xfId="0" applyFont="1" applyBorder="1" applyAlignment="1">
      <alignment horizontal="center"/>
    </xf>
    <xf numFmtId="0" fontId="258" fillId="0" borderId="505" xfId="0" applyFont="1" applyBorder="1" applyAlignment="1">
      <alignment horizontal="left"/>
    </xf>
    <xf numFmtId="0" fontId="302" fillId="0" borderId="506" xfId="0" applyFont="1" applyBorder="1" applyAlignment="1">
      <alignment horizontal="center" vertical="center"/>
    </xf>
    <xf numFmtId="43" fontId="261" fillId="0" borderId="504" xfId="0" applyNumberFormat="1" applyFont="1" applyBorder="1"/>
    <xf numFmtId="0" fontId="50" fillId="0" borderId="508" xfId="0" applyFont="1" applyBorder="1" applyAlignment="1">
      <alignment horizontal="center"/>
    </xf>
    <xf numFmtId="0" fontId="247" fillId="0" borderId="508" xfId="0" applyFont="1" applyBorder="1" applyAlignment="1">
      <alignment horizontal="left"/>
    </xf>
    <xf numFmtId="0" fontId="288" fillId="0" borderId="510" xfId="0" applyFont="1" applyBorder="1" applyAlignment="1">
      <alignment horizontal="center"/>
    </xf>
    <xf numFmtId="0" fontId="278" fillId="0" borderId="510" xfId="0" applyFont="1" applyBorder="1" applyAlignment="1">
      <alignment horizontal="center"/>
    </xf>
    <xf numFmtId="0" fontId="278" fillId="0" borderId="510" xfId="0" applyFont="1" applyBorder="1" applyAlignment="1">
      <alignment horizontal="left"/>
    </xf>
    <xf numFmtId="0" fontId="302" fillId="0" borderId="511" xfId="0" applyFont="1" applyBorder="1" applyAlignment="1">
      <alignment horizontal="center" vertical="center"/>
    </xf>
    <xf numFmtId="43" fontId="261" fillId="0" borderId="509" xfId="0" applyNumberFormat="1" applyFont="1" applyBorder="1"/>
    <xf numFmtId="0" fontId="90" fillId="0" borderId="512" xfId="0" applyFont="1" applyBorder="1" applyAlignment="1">
      <alignment horizontal="center"/>
    </xf>
    <xf numFmtId="0" fontId="65" fillId="0" borderId="512" xfId="0" applyFont="1" applyBorder="1" applyAlignment="1">
      <alignment horizontal="center"/>
    </xf>
    <xf numFmtId="0" fontId="27" fillId="0" borderId="513" xfId="0" applyFont="1" applyBorder="1" applyAlignment="1">
      <alignment horizontal="left"/>
    </xf>
    <xf numFmtId="0" fontId="26" fillId="0" borderId="514" xfId="0" applyFont="1" applyBorder="1" applyAlignment="1">
      <alignment horizontal="center" vertical="center"/>
    </xf>
    <xf numFmtId="0" fontId="50" fillId="0" borderId="17" xfId="0" applyFont="1" applyBorder="1"/>
    <xf numFmtId="0" fontId="50" fillId="0" borderId="38" xfId="0" applyFont="1" applyBorder="1"/>
    <xf numFmtId="0" fontId="240" fillId="0" borderId="38" xfId="0" applyFont="1" applyBorder="1"/>
    <xf numFmtId="0" fontId="277" fillId="0" borderId="0" xfId="0" applyFont="1" applyAlignment="1">
      <alignment horizontal="center" vertical="center"/>
    </xf>
    <xf numFmtId="0" fontId="277" fillId="0" borderId="21" xfId="0" applyFont="1" applyBorder="1" applyAlignment="1">
      <alignment horizontal="center" vertical="center"/>
    </xf>
    <xf numFmtId="0" fontId="277" fillId="0" borderId="1" xfId="0" applyFont="1" applyBorder="1" applyAlignment="1">
      <alignment horizontal="center" vertical="center"/>
    </xf>
    <xf numFmtId="0" fontId="277" fillId="0" borderId="269" xfId="0" applyFont="1" applyBorder="1" applyAlignment="1">
      <alignment horizontal="center" vertical="center"/>
    </xf>
    <xf numFmtId="0" fontId="277" fillId="0" borderId="7" xfId="0" applyFont="1" applyBorder="1" applyAlignment="1">
      <alignment horizontal="center" vertical="center"/>
    </xf>
    <xf numFmtId="0" fontId="277" fillId="0" borderId="393" xfId="0" applyFont="1" applyBorder="1" applyAlignment="1">
      <alignment horizontal="center" vertical="center"/>
    </xf>
    <xf numFmtId="0" fontId="277" fillId="0" borderId="397" xfId="0" applyFont="1" applyBorder="1" applyAlignment="1">
      <alignment horizontal="center" vertical="center"/>
    </xf>
    <xf numFmtId="0" fontId="277" fillId="0" borderId="411" xfId="1" applyNumberFormat="1" applyFont="1" applyBorder="1" applyAlignment="1">
      <alignment horizontal="center" vertical="center"/>
    </xf>
    <xf numFmtId="0" fontId="311" fillId="0" borderId="409" xfId="0" applyFont="1" applyBorder="1" applyAlignment="1">
      <alignment horizontal="center" vertical="center"/>
    </xf>
    <xf numFmtId="0" fontId="277" fillId="0" borderId="10" xfId="0" applyFont="1" applyBorder="1" applyAlignment="1">
      <alignment horizontal="center" vertical="center"/>
    </xf>
    <xf numFmtId="0" fontId="277" fillId="0" borderId="355" xfId="0" applyFont="1" applyBorder="1" applyAlignment="1">
      <alignment horizontal="center" vertical="center"/>
    </xf>
    <xf numFmtId="0" fontId="311" fillId="0" borderId="403" xfId="0" applyFont="1" applyBorder="1" applyAlignment="1">
      <alignment horizontal="center" vertical="center"/>
    </xf>
    <xf numFmtId="0" fontId="311" fillId="0" borderId="0" xfId="0" applyFont="1" applyBorder="1" applyAlignment="1">
      <alignment horizontal="center" vertical="center"/>
    </xf>
    <xf numFmtId="0" fontId="277" fillId="0" borderId="0" xfId="0" applyFont="1" applyBorder="1" applyAlignment="1">
      <alignment horizontal="center" vertical="center"/>
    </xf>
    <xf numFmtId="0" fontId="277" fillId="0" borderId="403" xfId="0" applyFont="1" applyBorder="1" applyAlignment="1">
      <alignment horizontal="center" vertical="center"/>
    </xf>
    <xf numFmtId="0" fontId="277" fillId="0" borderId="210" xfId="0" applyFont="1" applyBorder="1" applyAlignment="1">
      <alignment horizontal="center" vertical="center"/>
    </xf>
    <xf numFmtId="0" fontId="311" fillId="0" borderId="425" xfId="0" applyFont="1" applyBorder="1" applyAlignment="1">
      <alignment horizontal="center" vertical="center"/>
    </xf>
    <xf numFmtId="0" fontId="277" fillId="0" borderId="40" xfId="0" applyFont="1" applyBorder="1" applyAlignment="1">
      <alignment horizontal="center" vertical="center"/>
    </xf>
    <xf numFmtId="0" fontId="277" fillId="0" borderId="149" xfId="0" applyFont="1" applyBorder="1" applyAlignment="1">
      <alignment horizontal="center" vertical="center"/>
    </xf>
    <xf numFmtId="0" fontId="277" fillId="0" borderId="0" xfId="0" applyFont="1" applyFill="1" applyBorder="1" applyAlignment="1">
      <alignment horizontal="center" vertical="center"/>
    </xf>
    <xf numFmtId="0" fontId="277" fillId="0" borderId="38" xfId="0" applyFont="1" applyBorder="1" applyAlignment="1">
      <alignment horizontal="center" vertical="center"/>
    </xf>
    <xf numFmtId="0" fontId="277" fillId="0" borderId="409" xfId="0" applyFont="1" applyBorder="1" applyAlignment="1">
      <alignment horizontal="center" vertical="center"/>
    </xf>
    <xf numFmtId="0" fontId="277" fillId="0" borderId="430" xfId="0" applyFont="1" applyBorder="1" applyAlignment="1">
      <alignment horizontal="center" vertical="center"/>
    </xf>
    <xf numFmtId="0" fontId="277" fillId="0" borderId="5" xfId="0" applyFont="1" applyBorder="1" applyAlignment="1">
      <alignment horizontal="center" vertical="center"/>
    </xf>
    <xf numFmtId="0" fontId="277" fillId="0" borderId="429" xfId="0" applyFont="1" applyBorder="1" applyAlignment="1">
      <alignment horizontal="center" vertical="center"/>
    </xf>
    <xf numFmtId="0" fontId="277" fillId="0" borderId="11" xfId="0" applyFont="1" applyBorder="1" applyAlignment="1">
      <alignment horizontal="center" vertical="center"/>
    </xf>
    <xf numFmtId="0" fontId="311" fillId="0" borderId="443" xfId="0" applyFont="1" applyBorder="1" applyAlignment="1">
      <alignment horizontal="center" vertical="center"/>
    </xf>
    <xf numFmtId="0" fontId="277" fillId="0" borderId="175" xfId="0" applyFont="1" applyBorder="1" applyAlignment="1">
      <alignment horizontal="center" vertical="center"/>
    </xf>
    <xf numFmtId="0" fontId="277" fillId="0" borderId="0" xfId="0" applyFont="1" applyFill="1" applyAlignment="1">
      <alignment horizontal="center" vertical="center"/>
    </xf>
    <xf numFmtId="43" fontId="256" fillId="38" borderId="450" xfId="0" applyNumberFormat="1" applyFont="1" applyFill="1" applyBorder="1" applyAlignment="1">
      <alignment horizontal="center"/>
    </xf>
    <xf numFmtId="43" fontId="256" fillId="38" borderId="408" xfId="0" applyNumberFormat="1" applyFont="1" applyFill="1" applyBorder="1" applyAlignment="1">
      <alignment horizontal="center"/>
    </xf>
    <xf numFmtId="43" fontId="256" fillId="38" borderId="414" xfId="0" applyNumberFormat="1" applyFont="1" applyFill="1" applyBorder="1" applyAlignment="1">
      <alignment horizontal="center"/>
    </xf>
    <xf numFmtId="43" fontId="256" fillId="38" borderId="0" xfId="0" applyNumberFormat="1" applyFont="1" applyFill="1" applyBorder="1" applyAlignment="1">
      <alignment horizontal="center"/>
    </xf>
    <xf numFmtId="43" fontId="256" fillId="38" borderId="418" xfId="0" applyNumberFormat="1" applyFont="1" applyFill="1" applyBorder="1" applyAlignment="1">
      <alignment horizontal="center"/>
    </xf>
    <xf numFmtId="43" fontId="283" fillId="38" borderId="0" xfId="0" applyNumberFormat="1" applyFont="1" applyFill="1" applyBorder="1" applyAlignment="1">
      <alignment horizontal="center"/>
    </xf>
    <xf numFmtId="43" fontId="256" fillId="38" borderId="420" xfId="0" applyNumberFormat="1" applyFont="1" applyFill="1" applyBorder="1" applyAlignment="1">
      <alignment horizontal="center"/>
    </xf>
    <xf numFmtId="43" fontId="256" fillId="38" borderId="6" xfId="0" applyNumberFormat="1" applyFont="1" applyFill="1" applyBorder="1" applyAlignment="1">
      <alignment horizontal="center"/>
    </xf>
    <xf numFmtId="0" fontId="12" fillId="0" borderId="272" xfId="0" applyFont="1" applyBorder="1" applyAlignment="1">
      <alignment horizontal="center"/>
    </xf>
    <xf numFmtId="43" fontId="280" fillId="0" borderId="380" xfId="0" applyNumberFormat="1" applyFont="1" applyFill="1" applyBorder="1"/>
    <xf numFmtId="0" fontId="12" fillId="0" borderId="374" xfId="0" applyFont="1" applyBorder="1" applyAlignment="1">
      <alignment horizontal="center"/>
    </xf>
    <xf numFmtId="0" fontId="242" fillId="0" borderId="355" xfId="0" applyFont="1" applyBorder="1" applyAlignment="1">
      <alignment horizontal="left"/>
    </xf>
    <xf numFmtId="0" fontId="12" fillId="0" borderId="398" xfId="0" applyFont="1" applyBorder="1" applyAlignment="1">
      <alignment horizontal="center"/>
    </xf>
    <xf numFmtId="0" fontId="258" fillId="0" borderId="182" xfId="0" applyFont="1" applyBorder="1" applyAlignment="1">
      <alignment horizontal="center"/>
    </xf>
    <xf numFmtId="43" fontId="280" fillId="0" borderId="516" xfId="0" applyNumberFormat="1" applyFont="1" applyFill="1" applyBorder="1"/>
    <xf numFmtId="0" fontId="50" fillId="0" borderId="412" xfId="0" applyFont="1" applyBorder="1" applyAlignment="1">
      <alignment horizontal="right"/>
    </xf>
    <xf numFmtId="43" fontId="134" fillId="38" borderId="1" xfId="0" applyNumberFormat="1" applyFont="1" applyFill="1" applyBorder="1"/>
    <xf numFmtId="0" fontId="242" fillId="38" borderId="412" xfId="0" applyFont="1" applyFill="1" applyBorder="1"/>
    <xf numFmtId="43" fontId="246" fillId="38" borderId="268" xfId="0" applyNumberFormat="1" applyFont="1" applyFill="1" applyBorder="1"/>
    <xf numFmtId="43" fontId="246" fillId="38" borderId="503" xfId="0" applyNumberFormat="1" applyFont="1" applyFill="1" applyBorder="1"/>
    <xf numFmtId="43" fontId="246" fillId="38" borderId="507" xfId="0" applyNumberFormat="1" applyFont="1" applyFill="1" applyBorder="1"/>
    <xf numFmtId="43" fontId="261" fillId="38" borderId="433" xfId="0" applyNumberFormat="1" applyFont="1" applyFill="1" applyBorder="1"/>
    <xf numFmtId="43" fontId="246" fillId="38" borderId="434" xfId="0" applyNumberFormat="1" applyFont="1" applyFill="1" applyBorder="1"/>
    <xf numFmtId="43" fontId="66" fillId="38" borderId="378" xfId="0" applyNumberFormat="1" applyFont="1" applyFill="1" applyBorder="1"/>
    <xf numFmtId="43" fontId="66" fillId="38" borderId="432" xfId="0" applyNumberFormat="1" applyFont="1" applyFill="1" applyBorder="1"/>
    <xf numFmtId="43" fontId="312" fillId="0" borderId="378" xfId="0" applyNumberFormat="1" applyFont="1" applyBorder="1"/>
    <xf numFmtId="43" fontId="261" fillId="38" borderId="503" xfId="0" applyNumberFormat="1" applyFont="1" applyFill="1" applyBorder="1"/>
    <xf numFmtId="43" fontId="134" fillId="38" borderId="517" xfId="0" applyNumberFormat="1" applyFont="1" applyFill="1" applyBorder="1"/>
    <xf numFmtId="43" fontId="134" fillId="38" borderId="262" xfId="0" applyNumberFormat="1" applyFont="1" applyFill="1" applyBorder="1"/>
    <xf numFmtId="43" fontId="287" fillId="0" borderId="380" xfId="0" applyNumberFormat="1" applyFont="1" applyFill="1" applyBorder="1"/>
    <xf numFmtId="43" fontId="282" fillId="0" borderId="380" xfId="0" applyNumberFormat="1" applyFont="1" applyFill="1" applyBorder="1"/>
    <xf numFmtId="43" fontId="256" fillId="38" borderId="375" xfId="0" applyNumberFormat="1" applyFont="1" applyFill="1" applyBorder="1"/>
    <xf numFmtId="0" fontId="76" fillId="0" borderId="355" xfId="0" applyFont="1" applyBorder="1" applyAlignment="1">
      <alignment horizontal="left"/>
    </xf>
    <xf numFmtId="43" fontId="256" fillId="38" borderId="431" xfId="0" applyNumberFormat="1" applyFont="1" applyFill="1" applyBorder="1"/>
    <xf numFmtId="43" fontId="256" fillId="38" borderId="503" xfId="0" applyNumberFormat="1" applyFont="1" applyFill="1" applyBorder="1"/>
    <xf numFmtId="43" fontId="282" fillId="0" borderId="378" xfId="0" applyNumberFormat="1" applyFont="1" applyFill="1" applyBorder="1"/>
    <xf numFmtId="43" fontId="287" fillId="0" borderId="375" xfId="0" applyNumberFormat="1" applyFont="1" applyFill="1" applyBorder="1"/>
    <xf numFmtId="43" fontId="282" fillId="0" borderId="375" xfId="0" applyNumberFormat="1" applyFont="1" applyFill="1" applyBorder="1"/>
    <xf numFmtId="43" fontId="252" fillId="38" borderId="441" xfId="0" applyNumberFormat="1" applyFont="1" applyFill="1" applyBorder="1"/>
    <xf numFmtId="43" fontId="252" fillId="38" borderId="432" xfId="0" applyNumberFormat="1" applyFont="1" applyFill="1" applyBorder="1"/>
    <xf numFmtId="43" fontId="134" fillId="38" borderId="375" xfId="0" applyNumberFormat="1" applyFont="1" applyFill="1" applyBorder="1" applyAlignment="1">
      <alignment horizontal="left"/>
    </xf>
    <xf numFmtId="43" fontId="252" fillId="38" borderId="431" xfId="0" applyNumberFormat="1" applyFont="1" applyFill="1" applyBorder="1"/>
    <xf numFmtId="43" fontId="246" fillId="38" borderId="262" xfId="0" applyNumberFormat="1" applyFont="1" applyFill="1" applyBorder="1"/>
    <xf numFmtId="43" fontId="261" fillId="38" borderId="431" xfId="0" applyNumberFormat="1" applyFont="1" applyFill="1" applyBorder="1" applyAlignment="1">
      <alignment horizontal="center"/>
    </xf>
    <xf numFmtId="43" fontId="246" fillId="38" borderId="431" xfId="0" applyNumberFormat="1" applyFont="1" applyFill="1" applyBorder="1"/>
    <xf numFmtId="43" fontId="287" fillId="0" borderId="375" xfId="0" applyNumberFormat="1" applyFont="1" applyBorder="1"/>
    <xf numFmtId="43" fontId="280" fillId="0" borderId="375" xfId="0" applyNumberFormat="1" applyFont="1" applyBorder="1" applyAlignment="1">
      <alignment horizontal="center"/>
    </xf>
    <xf numFmtId="0" fontId="0" fillId="0" borderId="519" xfId="0" applyBorder="1"/>
    <xf numFmtId="0" fontId="0" fillId="0" borderId="520" xfId="0" applyBorder="1"/>
    <xf numFmtId="0" fontId="0" fillId="0" borderId="521" xfId="0" applyBorder="1"/>
    <xf numFmtId="0" fontId="0" fillId="0" borderId="522" xfId="0" applyBorder="1"/>
    <xf numFmtId="0" fontId="0" fillId="0" borderId="523" xfId="0" applyBorder="1"/>
    <xf numFmtId="0" fontId="0" fillId="0" borderId="524" xfId="0" applyBorder="1"/>
    <xf numFmtId="0" fontId="13" fillId="0" borderId="386" xfId="0" applyFont="1" applyBorder="1" applyAlignment="1">
      <alignment horizontal="center"/>
    </xf>
    <xf numFmtId="0" fontId="254" fillId="0" borderId="11" xfId="0" applyFont="1" applyBorder="1" applyAlignment="1">
      <alignment horizontal="center"/>
    </xf>
    <xf numFmtId="0" fontId="254" fillId="0" borderId="5" xfId="0" applyFont="1" applyFill="1" applyBorder="1" applyAlignment="1">
      <alignment horizontal="left"/>
    </xf>
    <xf numFmtId="0" fontId="254" fillId="0" borderId="259" xfId="0" applyFont="1" applyBorder="1" applyAlignment="1">
      <alignment horizontal="center"/>
    </xf>
    <xf numFmtId="0" fontId="132" fillId="0" borderId="1" xfId="0" applyFont="1" applyBorder="1" applyAlignment="1">
      <alignment horizontal="center"/>
    </xf>
    <xf numFmtId="0" fontId="132" fillId="0" borderId="1" xfId="0" applyFont="1" applyFill="1" applyBorder="1" applyAlignment="1">
      <alignment horizontal="right"/>
    </xf>
    <xf numFmtId="43" fontId="256" fillId="38" borderId="1" xfId="0" applyNumberFormat="1" applyFont="1" applyFill="1" applyBorder="1"/>
    <xf numFmtId="0" fontId="13" fillId="0" borderId="526" xfId="0" applyFont="1" applyBorder="1" applyAlignment="1">
      <alignment horizontal="center" vertical="center"/>
    </xf>
    <xf numFmtId="0" fontId="10" fillId="0" borderId="527" xfId="0" applyFont="1" applyBorder="1" applyAlignment="1">
      <alignment horizontal="center"/>
    </xf>
    <xf numFmtId="0" fontId="10" fillId="0" borderId="528" xfId="0" applyFont="1" applyFill="1" applyBorder="1" applyAlignment="1">
      <alignment horizontal="left"/>
    </xf>
    <xf numFmtId="0" fontId="277" fillId="0" borderId="529" xfId="0" applyFont="1" applyFill="1" applyBorder="1" applyAlignment="1">
      <alignment horizontal="center" vertical="center"/>
    </xf>
    <xf numFmtId="43" fontId="306" fillId="0" borderId="525" xfId="0" applyNumberFormat="1" applyFont="1" applyFill="1" applyBorder="1"/>
    <xf numFmtId="43" fontId="282" fillId="0" borderId="428" xfId="0" applyNumberFormat="1" applyFont="1" applyFill="1" applyBorder="1"/>
    <xf numFmtId="0" fontId="61" fillId="0" borderId="0" xfId="0" applyFont="1" applyBorder="1" applyAlignment="1">
      <alignment horizontal="center"/>
    </xf>
    <xf numFmtId="43" fontId="287" fillId="0" borderId="375" xfId="0" applyNumberFormat="1" applyFont="1" applyFill="1" applyBorder="1" applyAlignment="1">
      <alignment horizontal="left"/>
    </xf>
    <xf numFmtId="0" fontId="62" fillId="0" borderId="7" xfId="0" applyFont="1" applyBorder="1" applyAlignment="1">
      <alignment horizontal="left" vertical="center"/>
    </xf>
    <xf numFmtId="0" fontId="143" fillId="0" borderId="0" xfId="0" applyFont="1" applyBorder="1" applyAlignment="1"/>
    <xf numFmtId="0" fontId="10" fillId="0" borderId="184" xfId="0" applyFont="1" applyBorder="1" applyAlignment="1">
      <alignment horizontal="left"/>
    </xf>
    <xf numFmtId="0" fontId="90" fillId="0" borderId="0" xfId="0" applyFont="1" applyBorder="1" applyAlignment="1">
      <alignment horizontal="right"/>
    </xf>
    <xf numFmtId="0" fontId="60" fillId="0" borderId="0" xfId="0" applyFont="1" applyAlignment="1">
      <alignment horizontal="center"/>
    </xf>
    <xf numFmtId="0" fontId="124" fillId="0" borderId="0" xfId="0" applyFont="1" applyBorder="1" applyAlignment="1">
      <alignment horizontal="center"/>
    </xf>
    <xf numFmtId="43" fontId="206" fillId="0" borderId="60" xfId="1" quotePrefix="1" applyNumberFormat="1" applyFont="1" applyBorder="1" applyAlignment="1">
      <alignment vertical="center"/>
    </xf>
    <xf numFmtId="43" fontId="206" fillId="0" borderId="60" xfId="1" quotePrefix="1" applyNumberFormat="1" applyFont="1" applyBorder="1" applyAlignment="1">
      <alignment horizontal="center" vertical="center"/>
    </xf>
    <xf numFmtId="49" fontId="150" fillId="0" borderId="0" xfId="0" applyNumberFormat="1" applyFont="1" applyBorder="1" applyAlignment="1">
      <alignment horizontal="center"/>
    </xf>
    <xf numFmtId="43" fontId="124" fillId="0" borderId="10" xfId="1" applyNumberFormat="1" applyFont="1" applyBorder="1" applyAlignment="1">
      <alignment horizontal="center"/>
    </xf>
    <xf numFmtId="43" fontId="124" fillId="0" borderId="324" xfId="1" applyNumberFormat="1" applyFont="1" applyBorder="1" applyAlignment="1">
      <alignment horizontal="center"/>
    </xf>
    <xf numFmtId="0" fontId="124" fillId="0" borderId="187" xfId="0" applyFont="1" applyBorder="1" applyAlignment="1">
      <alignment horizontal="center"/>
    </xf>
    <xf numFmtId="0" fontId="124" fillId="0" borderId="18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43" fontId="124" fillId="0" borderId="60" xfId="1" quotePrefix="1" applyNumberFormat="1" applyFont="1" applyBorder="1"/>
    <xf numFmtId="0" fontId="124" fillId="0" borderId="0" xfId="0" applyFont="1" applyBorder="1" applyAlignment="1">
      <alignment horizontal="right"/>
    </xf>
    <xf numFmtId="0" fontId="32" fillId="0" borderId="224" xfId="0" applyFont="1" applyBorder="1" applyAlignment="1">
      <alignment horizontal="center" vertical="center"/>
    </xf>
    <xf numFmtId="0" fontId="114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46" xfId="1" applyNumberFormat="1" applyFont="1" applyBorder="1" applyAlignment="1">
      <alignment horizontal="center"/>
    </xf>
    <xf numFmtId="43" fontId="25" fillId="0" borderId="60" xfId="1" quotePrefix="1" applyNumberFormat="1" applyFont="1" applyBorder="1" applyAlignment="1">
      <alignment vertical="center"/>
    </xf>
    <xf numFmtId="43" fontId="108" fillId="0" borderId="67" xfId="1" applyNumberFormat="1" applyFont="1" applyBorder="1" applyAlignment="1">
      <alignment vertical="center"/>
    </xf>
    <xf numFmtId="0" fontId="124" fillId="0" borderId="1" xfId="0" applyFont="1" applyBorder="1" applyAlignment="1">
      <alignment horizontal="center"/>
    </xf>
    <xf numFmtId="0" fontId="82" fillId="2" borderId="1" xfId="3" applyFont="1" applyFill="1" applyBorder="1" applyAlignment="1">
      <alignment horizontal="center"/>
    </xf>
    <xf numFmtId="1" fontId="30" fillId="0" borderId="0" xfId="3" applyNumberFormat="1" applyFont="1" applyAlignment="1">
      <alignment horizontal="center"/>
    </xf>
    <xf numFmtId="0" fontId="29" fillId="0" borderId="0" xfId="3" applyFont="1" applyAlignment="1">
      <alignment horizontal="center"/>
    </xf>
    <xf numFmtId="0" fontId="32" fillId="0" borderId="0" xfId="0" applyFont="1" applyBorder="1" applyAlignment="1"/>
    <xf numFmtId="0" fontId="25" fillId="0" borderId="0" xfId="0" applyFont="1" applyBorder="1" applyAlignment="1">
      <alignment horizontal="center"/>
    </xf>
    <xf numFmtId="0" fontId="25" fillId="0" borderId="0" xfId="0" applyFont="1"/>
    <xf numFmtId="0" fontId="138" fillId="0" borderId="0" xfId="0" applyFont="1" applyAlignment="1">
      <alignment horizontal="center" vertical="center"/>
    </xf>
    <xf numFmtId="0" fontId="13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77" fillId="2" borderId="445" xfId="0" applyFont="1" applyFill="1" applyBorder="1" applyAlignment="1">
      <alignment horizontal="center" vertical="center"/>
    </xf>
    <xf numFmtId="0" fontId="277" fillId="2" borderId="210" xfId="0" applyFont="1" applyFill="1" applyBorder="1" applyAlignment="1">
      <alignment horizontal="center" vertical="center"/>
    </xf>
    <xf numFmtId="0" fontId="277" fillId="2" borderId="21" xfId="0" applyFont="1" applyFill="1" applyBorder="1" applyAlignment="1">
      <alignment horizontal="center" vertical="center"/>
    </xf>
    <xf numFmtId="0" fontId="277" fillId="2" borderId="1" xfId="0" applyFont="1" applyFill="1" applyBorder="1" applyAlignment="1">
      <alignment horizontal="center" vertical="center"/>
    </xf>
    <xf numFmtId="0" fontId="277" fillId="2" borderId="355" xfId="0" applyFont="1" applyFill="1" applyBorder="1" applyAlignment="1">
      <alignment horizontal="center" vertical="center"/>
    </xf>
    <xf numFmtId="0" fontId="277" fillId="2" borderId="78" xfId="0" applyFont="1" applyFill="1" applyBorder="1" applyAlignment="1">
      <alignment horizontal="center" vertical="center"/>
    </xf>
    <xf numFmtId="0" fontId="277" fillId="2" borderId="16" xfId="0" applyFont="1" applyFill="1" applyBorder="1" applyAlignment="1">
      <alignment horizontal="center" vertical="center"/>
    </xf>
    <xf numFmtId="0" fontId="277" fillId="2" borderId="269" xfId="0" applyFont="1" applyFill="1" applyBorder="1" applyAlignment="1">
      <alignment horizontal="center" vertical="center"/>
    </xf>
    <xf numFmtId="0" fontId="277" fillId="2" borderId="0" xfId="0" applyFont="1" applyFill="1" applyBorder="1" applyAlignment="1">
      <alignment horizontal="center"/>
    </xf>
    <xf numFmtId="0" fontId="277" fillId="2" borderId="0" xfId="0" applyFont="1" applyFill="1" applyAlignment="1">
      <alignment horizontal="center" vertical="center"/>
    </xf>
    <xf numFmtId="0" fontId="277" fillId="2" borderId="0" xfId="0" applyFont="1" applyFill="1" applyBorder="1" applyAlignment="1">
      <alignment horizontal="center" vertical="center"/>
    </xf>
    <xf numFmtId="0" fontId="311" fillId="2" borderId="0" xfId="0" applyFont="1" applyFill="1" applyBorder="1" applyAlignment="1">
      <alignment horizontal="center" vertical="center"/>
    </xf>
    <xf numFmtId="0" fontId="277" fillId="2" borderId="406" xfId="0" applyFont="1" applyFill="1" applyBorder="1" applyAlignment="1">
      <alignment horizontal="center" vertical="center"/>
    </xf>
    <xf numFmtId="0" fontId="277" fillId="2" borderId="417" xfId="0" applyFont="1" applyFill="1" applyBorder="1" applyAlignment="1">
      <alignment horizontal="center" vertical="center"/>
    </xf>
    <xf numFmtId="0" fontId="277" fillId="2" borderId="408" xfId="0" applyFont="1" applyFill="1" applyBorder="1" applyAlignment="1">
      <alignment horizontal="center" vertical="center"/>
    </xf>
    <xf numFmtId="0" fontId="277" fillId="2" borderId="414" xfId="0" applyFont="1" applyFill="1" applyBorder="1" applyAlignment="1">
      <alignment horizontal="center" vertical="center"/>
    </xf>
    <xf numFmtId="0" fontId="277" fillId="2" borderId="10" xfId="0" applyFont="1" applyFill="1" applyBorder="1" applyAlignment="1">
      <alignment horizontal="center" vertical="center"/>
    </xf>
    <xf numFmtId="0" fontId="277" fillId="2" borderId="21" xfId="1" applyNumberFormat="1" applyFont="1" applyFill="1" applyBorder="1" applyAlignment="1">
      <alignment horizontal="center" vertical="center"/>
    </xf>
    <xf numFmtId="0" fontId="277" fillId="2" borderId="182" xfId="0" applyFont="1" applyFill="1" applyBorder="1" applyAlignment="1">
      <alignment horizontal="center" vertical="center"/>
    </xf>
    <xf numFmtId="0" fontId="277" fillId="2" borderId="180" xfId="1" applyNumberFormat="1" applyFont="1" applyFill="1" applyBorder="1" applyAlignment="1">
      <alignment horizontal="center" vertical="center"/>
    </xf>
    <xf numFmtId="0" fontId="26" fillId="2" borderId="263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81" xfId="0" applyFont="1" applyFill="1" applyBorder="1" applyAlignment="1">
      <alignment horizontal="center" vertical="center"/>
    </xf>
    <xf numFmtId="0" fontId="26" fillId="2" borderId="416" xfId="0" applyFont="1" applyFill="1" applyBorder="1" applyAlignment="1">
      <alignment horizontal="center" vertical="center"/>
    </xf>
    <xf numFmtId="0" fontId="26" fillId="2" borderId="385" xfId="0" applyFont="1" applyFill="1" applyBorder="1" applyAlignment="1">
      <alignment horizontal="center" vertical="center"/>
    </xf>
    <xf numFmtId="0" fontId="302" fillId="2" borderId="17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26" fillId="2" borderId="412" xfId="0" applyFont="1" applyFill="1" applyBorder="1" applyAlignment="1">
      <alignment horizontal="center" vertical="center"/>
    </xf>
    <xf numFmtId="0" fontId="26" fillId="2" borderId="353" xfId="0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210" xfId="0" applyFont="1" applyFill="1" applyBorder="1" applyAlignment="1">
      <alignment horizontal="center" vertical="center"/>
    </xf>
    <xf numFmtId="0" fontId="26" fillId="2" borderId="412" xfId="1" applyNumberFormat="1" applyFont="1" applyFill="1" applyBorder="1" applyAlignment="1">
      <alignment horizontal="center" vertical="center" wrapText="1"/>
    </xf>
    <xf numFmtId="0" fontId="302" fillId="2" borderId="412" xfId="0" applyFont="1" applyFill="1" applyBorder="1" applyAlignment="1">
      <alignment horizontal="center" vertical="center"/>
    </xf>
    <xf numFmtId="0" fontId="131" fillId="0" borderId="1" xfId="0" applyFont="1" applyFill="1" applyBorder="1" applyAlignment="1">
      <alignment horizontal="right"/>
    </xf>
    <xf numFmtId="43" fontId="9" fillId="19" borderId="0" xfId="1" applyNumberFormat="1" applyFont="1" applyFill="1" applyBorder="1" applyAlignment="1">
      <alignment horizontal="center"/>
    </xf>
    <xf numFmtId="43" fontId="63" fillId="16" borderId="6" xfId="1" applyNumberFormat="1" applyFont="1" applyFill="1" applyBorder="1" applyAlignment="1">
      <alignment horizontal="center"/>
    </xf>
    <xf numFmtId="170" fontId="2" fillId="0" borderId="38" xfId="0" applyNumberFormat="1" applyFont="1" applyBorder="1" applyAlignment="1">
      <alignment horizontal="center" vertical="center"/>
    </xf>
    <xf numFmtId="164" fontId="2" fillId="0" borderId="0" xfId="1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65" fillId="0" borderId="51" xfId="0" applyFont="1" applyBorder="1" applyAlignment="1"/>
    <xf numFmtId="0" fontId="2" fillId="9" borderId="1" xfId="3" applyFont="1" applyFill="1" applyBorder="1" applyAlignment="1">
      <alignment horizontal="left"/>
    </xf>
    <xf numFmtId="0" fontId="14" fillId="9" borderId="255" xfId="3" applyFont="1" applyFill="1" applyBorder="1" applyAlignment="1">
      <alignment horizontal="left"/>
    </xf>
    <xf numFmtId="49" fontId="14" fillId="9" borderId="1" xfId="3" applyNumberFormat="1" applyFont="1" applyFill="1" applyBorder="1" applyAlignment="1">
      <alignment horizontal="left"/>
    </xf>
    <xf numFmtId="0" fontId="32" fillId="0" borderId="40" xfId="0" applyFont="1" applyBorder="1"/>
    <xf numFmtId="0" fontId="32" fillId="0" borderId="40" xfId="1" applyNumberFormat="1" applyFont="1" applyBorder="1" applyAlignment="1">
      <alignment horizontal="center" vertical="center" wrapText="1"/>
    </xf>
    <xf numFmtId="164" fontId="32" fillId="0" borderId="40" xfId="1" applyFont="1" applyBorder="1" applyAlignment="1">
      <alignment horizontal="center"/>
    </xf>
    <xf numFmtId="43" fontId="9" fillId="0" borderId="0" xfId="3" applyNumberFormat="1" applyFont="1" applyFill="1" applyBorder="1" applyAlignment="1">
      <alignment horizontal="center"/>
    </xf>
    <xf numFmtId="43" fontId="19" fillId="0" borderId="0" xfId="3" applyNumberFormat="1" applyFont="1" applyFill="1" applyBorder="1"/>
    <xf numFmtId="43" fontId="19" fillId="0" borderId="48" xfId="3" applyNumberFormat="1" applyFont="1" applyFill="1" applyBorder="1" applyAlignment="1">
      <alignment horizontal="center"/>
    </xf>
    <xf numFmtId="0" fontId="8" fillId="0" borderId="0" xfId="3" applyFont="1" applyFill="1" applyBorder="1"/>
    <xf numFmtId="43" fontId="9" fillId="0" borderId="0" xfId="3" applyNumberFormat="1" applyFont="1" applyFill="1" applyBorder="1"/>
    <xf numFmtId="43" fontId="19" fillId="0" borderId="42" xfId="3" applyNumberFormat="1" applyFont="1" applyFill="1" applyBorder="1"/>
    <xf numFmtId="0" fontId="19" fillId="0" borderId="0" xfId="3" applyFont="1" applyFill="1" applyBorder="1"/>
    <xf numFmtId="0" fontId="5" fillId="0" borderId="73" xfId="3" applyFont="1" applyFill="1" applyBorder="1" applyAlignment="1">
      <alignment horizontal="center"/>
    </xf>
    <xf numFmtId="0" fontId="18" fillId="0" borderId="0" xfId="3" applyFill="1" applyBorder="1"/>
    <xf numFmtId="0" fontId="14" fillId="0" borderId="39" xfId="3" applyFont="1" applyFill="1" applyBorder="1" applyAlignment="1">
      <alignment horizontal="center"/>
    </xf>
    <xf numFmtId="0" fontId="14" fillId="0" borderId="41" xfId="3" applyFont="1" applyFill="1" applyBorder="1" applyAlignment="1">
      <alignment horizontal="center"/>
    </xf>
    <xf numFmtId="0" fontId="3" fillId="0" borderId="73" xfId="3" applyFont="1" applyBorder="1" applyAlignment="1"/>
    <xf numFmtId="43" fontId="3" fillId="0" borderId="37" xfId="3" applyNumberFormat="1" applyFont="1" applyBorder="1" applyAlignment="1"/>
    <xf numFmtId="0" fontId="3" fillId="0" borderId="0" xfId="3" applyFont="1" applyBorder="1" applyAlignment="1"/>
    <xf numFmtId="43" fontId="3" fillId="0" borderId="0" xfId="3" applyNumberFormat="1" applyFont="1" applyBorder="1"/>
    <xf numFmtId="43" fontId="18" fillId="0" borderId="0" xfId="3" applyNumberFormat="1"/>
    <xf numFmtId="0" fontId="25" fillId="0" borderId="0" xfId="3" applyFont="1" applyFill="1" applyBorder="1" applyAlignment="1">
      <alignment horizontal="center"/>
    </xf>
    <xf numFmtId="43" fontId="140" fillId="0" borderId="60" xfId="1" quotePrefix="1" applyNumberFormat="1" applyFont="1" applyBorder="1"/>
    <xf numFmtId="43" fontId="25" fillId="0" borderId="54" xfId="3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" fontId="96" fillId="0" borderId="12" xfId="3" applyNumberFormat="1" applyFont="1" applyFill="1" applyBorder="1" applyAlignment="1">
      <alignment horizontal="center"/>
    </xf>
    <xf numFmtId="1" fontId="96" fillId="0" borderId="15" xfId="3" applyNumberFormat="1" applyFont="1" applyFill="1" applyBorder="1" applyAlignment="1">
      <alignment horizontal="center"/>
    </xf>
    <xf numFmtId="1" fontId="96" fillId="0" borderId="13" xfId="3" applyNumberFormat="1" applyFont="1" applyFill="1" applyBorder="1" applyAlignment="1">
      <alignment horizontal="center"/>
    </xf>
    <xf numFmtId="0" fontId="120" fillId="0" borderId="1" xfId="3" applyFont="1" applyFill="1" applyBorder="1" applyAlignment="1">
      <alignment horizontal="center"/>
    </xf>
    <xf numFmtId="170" fontId="99" fillId="0" borderId="0" xfId="3" applyNumberFormat="1" applyFont="1" applyFill="1" applyBorder="1" applyAlignment="1">
      <alignment horizontal="left"/>
    </xf>
    <xf numFmtId="0" fontId="0" fillId="0" borderId="0" xfId="3" applyFont="1" applyFill="1" applyBorder="1"/>
    <xf numFmtId="0" fontId="3" fillId="0" borderId="10" xfId="3" quotePrefix="1" applyFont="1" applyFill="1" applyBorder="1" applyAlignment="1">
      <alignment horizontal="center"/>
    </xf>
    <xf numFmtId="43" fontId="143" fillId="0" borderId="37" xfId="1" quotePrefix="1" applyNumberFormat="1" applyFont="1" applyBorder="1"/>
    <xf numFmtId="43" fontId="140" fillId="0" borderId="37" xfId="1" quotePrefix="1" applyNumberFormat="1" applyFont="1" applyBorder="1"/>
    <xf numFmtId="0" fontId="132" fillId="0" borderId="184" xfId="0" applyFont="1" applyBorder="1" applyAlignment="1">
      <alignment horizontal="center"/>
    </xf>
    <xf numFmtId="43" fontId="124" fillId="0" borderId="37" xfId="1" applyNumberFormat="1" applyFont="1" applyBorder="1"/>
    <xf numFmtId="43" fontId="140" fillId="0" borderId="530" xfId="1" quotePrefix="1" applyNumberFormat="1" applyFont="1" applyBorder="1"/>
    <xf numFmtId="43" fontId="143" fillId="0" borderId="530" xfId="1" applyNumberFormat="1" applyFont="1" applyBorder="1"/>
    <xf numFmtId="44" fontId="51" fillId="0" borderId="0" xfId="0" quotePrefix="1" applyNumberFormat="1" applyFont="1" applyAlignment="1">
      <alignment horizontal="center"/>
    </xf>
    <xf numFmtId="44" fontId="143" fillId="0" borderId="37" xfId="1" quotePrefix="1" applyNumberFormat="1" applyFont="1" applyBorder="1"/>
    <xf numFmtId="0" fontId="32" fillId="0" borderId="71" xfId="0" applyFont="1" applyBorder="1"/>
    <xf numFmtId="164" fontId="32" fillId="0" borderId="71" xfId="1" applyFont="1" applyBorder="1" applyAlignment="1">
      <alignment horizontal="center"/>
    </xf>
    <xf numFmtId="164" fontId="29" fillId="0" borderId="71" xfId="1" applyFont="1" applyBorder="1"/>
    <xf numFmtId="49" fontId="132" fillId="0" borderId="0" xfId="0" applyNumberFormat="1" applyFont="1" applyBorder="1" applyAlignment="1">
      <alignment horizontal="center"/>
    </xf>
    <xf numFmtId="49" fontId="32" fillId="0" borderId="38" xfId="1" applyNumberFormat="1" applyFont="1" applyBorder="1"/>
    <xf numFmtId="0" fontId="18" fillId="16" borderId="0" xfId="0" applyFont="1" applyFill="1" applyBorder="1"/>
    <xf numFmtId="0" fontId="32" fillId="16" borderId="0" xfId="0" applyFont="1" applyFill="1" applyBorder="1"/>
    <xf numFmtId="0" fontId="32" fillId="0" borderId="8" xfId="0" applyFont="1" applyBorder="1"/>
    <xf numFmtId="0" fontId="32" fillId="0" borderId="8" xfId="1" applyNumberFormat="1" applyFont="1" applyBorder="1" applyAlignment="1">
      <alignment horizontal="center" vertical="center" wrapText="1"/>
    </xf>
    <xf numFmtId="164" fontId="32" fillId="0" borderId="8" xfId="1" applyFont="1" applyBorder="1" applyAlignment="1">
      <alignment horizontal="center"/>
    </xf>
    <xf numFmtId="43" fontId="293" fillId="0" borderId="37" xfId="1" quotePrefix="1" applyNumberFormat="1" applyFont="1" applyBorder="1" applyAlignment="1">
      <alignment horizontal="center" vertical="center"/>
    </xf>
    <xf numFmtId="44" fontId="293" fillId="0" borderId="37" xfId="1" quotePrefix="1" applyNumberFormat="1" applyFont="1" applyBorder="1" applyAlignment="1">
      <alignment horizontal="center" vertical="center"/>
    </xf>
    <xf numFmtId="44" fontId="79" fillId="0" borderId="0" xfId="3" applyNumberFormat="1" applyFont="1" applyFill="1" applyBorder="1" applyAlignment="1">
      <alignment horizontal="center"/>
    </xf>
    <xf numFmtId="1" fontId="96" fillId="0" borderId="12" xfId="3" applyNumberFormat="1" applyFont="1" applyFill="1" applyBorder="1" applyAlignment="1"/>
    <xf numFmtId="1" fontId="96" fillId="0" borderId="15" xfId="3" applyNumberFormat="1" applyFont="1" applyFill="1" applyBorder="1" applyAlignment="1"/>
    <xf numFmtId="1" fontId="96" fillId="0" borderId="13" xfId="3" applyNumberFormat="1" applyFont="1" applyFill="1" applyBorder="1" applyAlignment="1"/>
    <xf numFmtId="0" fontId="82" fillId="0" borderId="0" xfId="3" applyFont="1" applyFill="1" applyBorder="1" applyAlignment="1"/>
    <xf numFmtId="49" fontId="84" fillId="0" borderId="0" xfId="3" applyNumberFormat="1" applyFont="1" applyFill="1" applyBorder="1" applyAlignment="1"/>
    <xf numFmtId="165" fontId="82" fillId="0" borderId="0" xfId="3" applyNumberFormat="1" applyFont="1" applyFill="1" applyBorder="1" applyAlignment="1"/>
    <xf numFmtId="43" fontId="84" fillId="0" borderId="0" xfId="3" applyNumberFormat="1" applyFont="1" applyFill="1" applyBorder="1" applyAlignment="1"/>
    <xf numFmtId="0" fontId="27" fillId="0" borderId="7" xfId="0" applyFont="1" applyBorder="1" applyAlignment="1">
      <alignment horizontal="left"/>
    </xf>
    <xf numFmtId="43" fontId="150" fillId="4" borderId="3" xfId="1" applyNumberFormat="1" applyFont="1" applyFill="1" applyBorder="1" applyAlignment="1">
      <alignment horizontal="center"/>
    </xf>
    <xf numFmtId="43" fontId="150" fillId="4" borderId="154" xfId="1" applyNumberFormat="1" applyFont="1" applyFill="1" applyBorder="1" applyAlignment="1">
      <alignment horizontal="center"/>
    </xf>
    <xf numFmtId="49" fontId="143" fillId="0" borderId="0" xfId="0" applyNumberFormat="1" applyFont="1" applyBorder="1" applyAlignment="1">
      <alignment horizontal="center"/>
    </xf>
    <xf numFmtId="0" fontId="143" fillId="0" borderId="0" xfId="0" applyFont="1" applyBorder="1" applyAlignment="1">
      <alignment horizontal="center"/>
    </xf>
    <xf numFmtId="0" fontId="138" fillId="0" borderId="0" xfId="0" applyFont="1" applyAlignment="1">
      <alignment horizontal="center"/>
    </xf>
    <xf numFmtId="43" fontId="30" fillId="0" borderId="0" xfId="0" applyNumberFormat="1" applyFont="1" applyBorder="1" applyAlignment="1">
      <alignment horizontal="center"/>
    </xf>
    <xf numFmtId="0" fontId="155" fillId="0" borderId="187" xfId="0" applyFont="1" applyBorder="1" applyAlignment="1">
      <alignment horizontal="center"/>
    </xf>
    <xf numFmtId="0" fontId="7" fillId="0" borderId="290" xfId="3" applyFont="1" applyBorder="1" applyAlignment="1">
      <alignment horizontal="center"/>
    </xf>
    <xf numFmtId="43" fontId="2" fillId="39" borderId="0" xfId="0" applyNumberFormat="1" applyFont="1" applyFill="1" applyBorder="1" applyAlignment="1">
      <alignment horizontal="center" vertical="center"/>
    </xf>
    <xf numFmtId="0" fontId="65" fillId="0" borderId="220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43" fontId="3" fillId="9" borderId="21" xfId="3" applyNumberFormat="1" applyFont="1" applyFill="1" applyBorder="1" applyAlignment="1">
      <alignment horizontal="center"/>
    </xf>
    <xf numFmtId="43" fontId="143" fillId="0" borderId="342" xfId="1" applyNumberFormat="1" applyFont="1" applyBorder="1" applyAlignment="1">
      <alignment horizontal="center"/>
    </xf>
    <xf numFmtId="43" fontId="148" fillId="0" borderId="532" xfId="0" quotePrefix="1" applyNumberFormat="1" applyFont="1" applyBorder="1" applyAlignment="1">
      <alignment horizontal="center"/>
    </xf>
    <xf numFmtId="0" fontId="138" fillId="0" borderId="533" xfId="0" applyFont="1" applyBorder="1"/>
    <xf numFmtId="43" fontId="148" fillId="0" borderId="533" xfId="0" quotePrefix="1" applyNumberFormat="1" applyFont="1" applyBorder="1" applyAlignment="1">
      <alignment horizontal="center"/>
    </xf>
    <xf numFmtId="43" fontId="148" fillId="0" borderId="531" xfId="0" quotePrefix="1" applyNumberFormat="1" applyFont="1" applyBorder="1" applyAlignment="1">
      <alignment horizontal="center"/>
    </xf>
    <xf numFmtId="49" fontId="153" fillId="0" borderId="533" xfId="0" applyNumberFormat="1" applyFont="1" applyBorder="1" applyAlignment="1">
      <alignment horizontal="center"/>
    </xf>
    <xf numFmtId="44" fontId="51" fillId="0" borderId="533" xfId="0" quotePrefix="1" applyNumberFormat="1" applyFont="1" applyBorder="1" applyAlignment="1">
      <alignment horizontal="center"/>
    </xf>
    <xf numFmtId="0" fontId="32" fillId="0" borderId="0" xfId="0" applyFont="1" applyAlignment="1"/>
    <xf numFmtId="0" fontId="314" fillId="0" borderId="217" xfId="0" applyFont="1" applyBorder="1" applyAlignment="1">
      <alignment vertical="center"/>
    </xf>
    <xf numFmtId="49" fontId="65" fillId="0" borderId="0" xfId="0" applyNumberFormat="1" applyFont="1" applyBorder="1" applyAlignment="1">
      <alignment horizontal="center"/>
    </xf>
    <xf numFmtId="43" fontId="2" fillId="0" borderId="0" xfId="0" applyNumberFormat="1" applyFont="1" applyBorder="1" applyAlignment="1">
      <alignment horizontal="center"/>
    </xf>
    <xf numFmtId="0" fontId="10" fillId="0" borderId="230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164" fontId="138" fillId="43" borderId="0" xfId="1" applyFont="1" applyFill="1" applyBorder="1"/>
    <xf numFmtId="164" fontId="32" fillId="43" borderId="0" xfId="1" applyFont="1" applyFill="1" applyBorder="1"/>
    <xf numFmtId="0" fontId="32" fillId="43" borderId="0" xfId="0" applyFont="1" applyFill="1"/>
    <xf numFmtId="0" fontId="14" fillId="43" borderId="0" xfId="0" applyFont="1" applyFill="1"/>
    <xf numFmtId="0" fontId="138" fillId="43" borderId="0" xfId="0" applyFont="1" applyFill="1"/>
    <xf numFmtId="43" fontId="138" fillId="43" borderId="0" xfId="0" applyNumberFormat="1" applyFont="1" applyFill="1"/>
    <xf numFmtId="43" fontId="138" fillId="43" borderId="0" xfId="0" applyNumberFormat="1" applyFont="1" applyFill="1" applyBorder="1"/>
    <xf numFmtId="43" fontId="138" fillId="43" borderId="0" xfId="0" applyNumberFormat="1" applyFont="1" applyFill="1" applyBorder="1" applyAlignment="1">
      <alignment horizontal="center" vertical="center"/>
    </xf>
    <xf numFmtId="43" fontId="138" fillId="43" borderId="533" xfId="0" applyNumberFormat="1" applyFont="1" applyFill="1" applyBorder="1"/>
    <xf numFmtId="164" fontId="138" fillId="43" borderId="0" xfId="1" applyFont="1" applyFill="1" applyBorder="1" applyAlignment="1"/>
    <xf numFmtId="0" fontId="138" fillId="43" borderId="0" xfId="0" applyFont="1" applyFill="1" applyBorder="1"/>
    <xf numFmtId="0" fontId="32" fillId="43" borderId="0" xfId="0" applyFont="1" applyFill="1" applyBorder="1"/>
    <xf numFmtId="0" fontId="14" fillId="43" borderId="0" xfId="0" applyFont="1" applyFill="1" applyBorder="1"/>
    <xf numFmtId="43" fontId="160" fillId="43" borderId="15" xfId="0" applyNumberFormat="1" applyFont="1" applyFill="1" applyBorder="1" applyAlignment="1">
      <alignment horizontal="center" vertical="center"/>
    </xf>
    <xf numFmtId="0" fontId="138" fillId="43" borderId="210" xfId="0" applyFont="1" applyFill="1" applyBorder="1" applyAlignment="1">
      <alignment horizontal="center"/>
    </xf>
    <xf numFmtId="0" fontId="138" fillId="43" borderId="533" xfId="0" applyFont="1" applyFill="1" applyBorder="1"/>
    <xf numFmtId="170" fontId="138" fillId="43" borderId="0" xfId="0" applyNumberFormat="1" applyFont="1" applyFill="1" applyBorder="1" applyAlignment="1">
      <alignment horizontal="center"/>
    </xf>
    <xf numFmtId="43" fontId="14" fillId="19" borderId="38" xfId="0" applyNumberFormat="1" applyFont="1" applyFill="1" applyBorder="1"/>
    <xf numFmtId="0" fontId="138" fillId="0" borderId="279" xfId="0" applyFont="1" applyBorder="1"/>
    <xf numFmtId="0" fontId="32" fillId="0" borderId="49" xfId="0" applyFont="1" applyBorder="1"/>
    <xf numFmtId="43" fontId="32" fillId="0" borderId="49" xfId="0" applyNumberFormat="1" applyFont="1" applyBorder="1"/>
    <xf numFmtId="0" fontId="138" fillId="0" borderId="49" xfId="0" applyFont="1" applyBorder="1"/>
    <xf numFmtId="43" fontId="138" fillId="0" borderId="43" xfId="1" applyNumberFormat="1" applyFont="1" applyFill="1" applyBorder="1"/>
    <xf numFmtId="0" fontId="138" fillId="0" borderId="42" xfId="0" applyFont="1" applyFill="1" applyBorder="1"/>
    <xf numFmtId="0" fontId="138" fillId="0" borderId="43" xfId="0" applyFont="1" applyFill="1" applyBorder="1"/>
    <xf numFmtId="0" fontId="138" fillId="0" borderId="43" xfId="0" applyFont="1" applyFill="1" applyBorder="1" applyAlignment="1">
      <alignment horizontal="center"/>
    </xf>
    <xf numFmtId="43" fontId="143" fillId="0" borderId="43" xfId="1" applyNumberFormat="1" applyFont="1" applyFill="1" applyBorder="1"/>
    <xf numFmtId="0" fontId="138" fillId="0" borderId="41" xfId="0" applyFont="1" applyFill="1" applyBorder="1"/>
    <xf numFmtId="43" fontId="138" fillId="0" borderId="40" xfId="0" applyNumberFormat="1" applyFont="1" applyBorder="1"/>
    <xf numFmtId="0" fontId="138" fillId="0" borderId="103" xfId="0" applyFont="1" applyBorder="1"/>
    <xf numFmtId="0" fontId="138" fillId="0" borderId="363" xfId="0" applyFont="1" applyBorder="1"/>
    <xf numFmtId="43" fontId="138" fillId="0" borderId="40" xfId="1" applyNumberFormat="1" applyFont="1" applyBorder="1"/>
    <xf numFmtId="0" fontId="138" fillId="0" borderId="39" xfId="0" applyFont="1" applyBorder="1"/>
    <xf numFmtId="0" fontId="27" fillId="0" borderId="1" xfId="0" applyFont="1" applyBorder="1" applyAlignment="1">
      <alignment horizontal="center"/>
    </xf>
    <xf numFmtId="43" fontId="138" fillId="0" borderId="0" xfId="1" applyNumberFormat="1" applyFont="1" applyFill="1" applyBorder="1" applyAlignment="1">
      <alignment vertical="center"/>
    </xf>
    <xf numFmtId="43" fontId="146" fillId="0" borderId="0" xfId="1" applyNumberFormat="1" applyFont="1" applyBorder="1" applyAlignment="1">
      <alignment vertical="center"/>
    </xf>
    <xf numFmtId="44" fontId="150" fillId="0" borderId="0" xfId="0" applyNumberFormat="1" applyFont="1" applyBorder="1" applyAlignment="1">
      <alignment horizontal="center" vertical="center"/>
    </xf>
    <xf numFmtId="0" fontId="165" fillId="0" borderId="0" xfId="0" applyFont="1" applyFill="1" applyBorder="1" applyAlignment="1">
      <alignment vertical="center"/>
    </xf>
    <xf numFmtId="43" fontId="172" fillId="0" borderId="0" xfId="0" applyNumberFormat="1" applyFont="1" applyFill="1" applyBorder="1" applyAlignment="1">
      <alignment horizontal="center" vertical="center"/>
    </xf>
    <xf numFmtId="43" fontId="171" fillId="0" borderId="0" xfId="0" applyNumberFormat="1" applyFont="1" applyFill="1" applyBorder="1" applyAlignment="1">
      <alignment vertical="center"/>
    </xf>
    <xf numFmtId="49" fontId="126" fillId="0" borderId="0" xfId="0" applyNumberFormat="1" applyFont="1" applyBorder="1" applyAlignment="1">
      <alignment vertical="center"/>
    </xf>
    <xf numFmtId="164" fontId="32" fillId="0" borderId="0" xfId="0" applyNumberFormat="1" applyFont="1" applyFill="1" applyBorder="1"/>
    <xf numFmtId="164" fontId="138" fillId="0" borderId="40" xfId="1" applyFont="1" applyBorder="1" applyAlignment="1"/>
    <xf numFmtId="164" fontId="138" fillId="43" borderId="40" xfId="1" applyFont="1" applyFill="1" applyBorder="1" applyAlignment="1"/>
    <xf numFmtId="0" fontId="138" fillId="43" borderId="40" xfId="0" applyFont="1" applyFill="1" applyBorder="1"/>
    <xf numFmtId="170" fontId="138" fillId="0" borderId="40" xfId="0" applyNumberFormat="1" applyFont="1" applyBorder="1" applyAlignment="1">
      <alignment horizontal="center"/>
    </xf>
    <xf numFmtId="49" fontId="161" fillId="0" borderId="39" xfId="0" applyNumberFormat="1" applyFont="1" applyFill="1" applyBorder="1" applyAlignment="1">
      <alignment vertical="center"/>
    </xf>
    <xf numFmtId="164" fontId="65" fillId="0" borderId="0" xfId="1" applyFont="1" applyBorder="1" applyAlignment="1"/>
    <xf numFmtId="0" fontId="14" fillId="0" borderId="0" xfId="0" applyFont="1" applyFill="1" applyBorder="1" applyAlignment="1">
      <alignment vertical="center"/>
    </xf>
    <xf numFmtId="43" fontId="32" fillId="0" borderId="0" xfId="0" applyNumberFormat="1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vertical="center"/>
    </xf>
    <xf numFmtId="43" fontId="2" fillId="0" borderId="0" xfId="1" applyNumberFormat="1" applyFont="1" applyBorder="1" applyAlignment="1">
      <alignment horizontal="center" vertical="center"/>
    </xf>
    <xf numFmtId="43" fontId="65" fillId="0" borderId="0" xfId="1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center" vertical="center"/>
    </xf>
    <xf numFmtId="43" fontId="24" fillId="0" borderId="0" xfId="0" applyNumberFormat="1" applyFont="1" applyFill="1" applyBorder="1" applyAlignment="1">
      <alignment vertical="center"/>
    </xf>
    <xf numFmtId="0" fontId="65" fillId="0" borderId="0" xfId="0" applyFont="1" applyFill="1" applyBorder="1" applyAlignment="1">
      <alignment horizontal="center"/>
    </xf>
    <xf numFmtId="0" fontId="0" fillId="0" borderId="0" xfId="0" applyFont="1" applyFill="1" applyBorder="1"/>
    <xf numFmtId="43" fontId="32" fillId="35" borderId="77" xfId="0" applyNumberFormat="1" applyFont="1" applyFill="1" applyBorder="1"/>
    <xf numFmtId="0" fontId="0" fillId="0" borderId="87" xfId="0" applyFont="1" applyBorder="1"/>
    <xf numFmtId="49" fontId="317" fillId="15" borderId="0" xfId="0" applyNumberFormat="1" applyFont="1" applyFill="1" applyBorder="1" applyAlignment="1">
      <alignment vertical="center"/>
    </xf>
    <xf numFmtId="172" fontId="243" fillId="0" borderId="371" xfId="0" applyNumberFormat="1" applyFont="1" applyBorder="1" applyAlignment="1">
      <alignment vertical="center"/>
    </xf>
    <xf numFmtId="172" fontId="243" fillId="0" borderId="372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49" fontId="27" fillId="0" borderId="0" xfId="0" applyNumberFormat="1" applyFont="1" applyBorder="1" applyAlignment="1">
      <alignment horizontal="center" vertical="center"/>
    </xf>
    <xf numFmtId="49" fontId="143" fillId="0" borderId="0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" fontId="90" fillId="7" borderId="2" xfId="3" applyNumberFormat="1" applyFont="1" applyFill="1" applyBorder="1" applyAlignment="1">
      <alignment horizontal="center" vertical="center"/>
    </xf>
    <xf numFmtId="14" fontId="243" fillId="0" borderId="42" xfId="0" applyNumberFormat="1" applyFont="1" applyBorder="1" applyAlignment="1"/>
    <xf numFmtId="172" fontId="31" fillId="0" borderId="370" xfId="0" applyNumberFormat="1" applyFont="1" applyBorder="1" applyAlignment="1">
      <alignment horizontal="center" vertical="center"/>
    </xf>
    <xf numFmtId="0" fontId="177" fillId="16" borderId="0" xfId="0" applyFont="1" applyFill="1" applyBorder="1" applyAlignment="1">
      <alignment horizontal="center" vertical="center"/>
    </xf>
    <xf numFmtId="49" fontId="177" fillId="16" borderId="0" xfId="0" applyNumberFormat="1" applyFont="1" applyFill="1" applyBorder="1" applyAlignment="1">
      <alignment horizontal="center" vertical="center"/>
    </xf>
    <xf numFmtId="0" fontId="148" fillId="0" borderId="311" xfId="0" applyNumberFormat="1" applyFont="1" applyBorder="1" applyAlignment="1">
      <alignment horizontal="center" vertical="center"/>
    </xf>
    <xf numFmtId="43" fontId="143" fillId="0" borderId="37" xfId="1" applyNumberFormat="1" applyFont="1" applyFill="1" applyBorder="1"/>
    <xf numFmtId="43" fontId="143" fillId="20" borderId="37" xfId="1" applyNumberFormat="1" applyFont="1" applyFill="1" applyBorder="1"/>
    <xf numFmtId="43" fontId="143" fillId="38" borderId="37" xfId="1" applyNumberFormat="1" applyFont="1" applyFill="1" applyBorder="1"/>
    <xf numFmtId="43" fontId="289" fillId="38" borderId="127" xfId="0" quotePrefix="1" applyNumberFormat="1" applyFont="1" applyFill="1" applyBorder="1" applyAlignment="1">
      <alignment horizontal="center"/>
    </xf>
    <xf numFmtId="0" fontId="23" fillId="0" borderId="534" xfId="0" quotePrefix="1" applyFont="1" applyBorder="1" applyAlignment="1">
      <alignment horizontal="center" vertical="center"/>
    </xf>
    <xf numFmtId="0" fontId="23" fillId="0" borderId="13" xfId="0" quotePrefix="1" applyFont="1" applyBorder="1" applyAlignment="1">
      <alignment horizontal="center" vertical="center"/>
    </xf>
    <xf numFmtId="0" fontId="23" fillId="0" borderId="4" xfId="0" quotePrefix="1" applyFont="1" applyBorder="1" applyAlignment="1">
      <alignment horizontal="center" vertical="center"/>
    </xf>
    <xf numFmtId="0" fontId="138" fillId="0" borderId="502" xfId="0" applyFont="1" applyBorder="1" applyAlignment="1">
      <alignment vertical="center"/>
    </xf>
    <xf numFmtId="43" fontId="289" fillId="20" borderId="21" xfId="0" applyNumberFormat="1" applyFont="1" applyFill="1" applyBorder="1" applyAlignment="1">
      <alignment horizontal="center" vertical="center"/>
    </xf>
    <xf numFmtId="0" fontId="23" fillId="0" borderId="535" xfId="0" applyFont="1" applyBorder="1" applyAlignment="1">
      <alignment horizontal="center" vertical="center"/>
    </xf>
    <xf numFmtId="43" fontId="289" fillId="20" borderId="1" xfId="0" applyNumberFormat="1" applyFont="1" applyFill="1" applyBorder="1" applyAlignment="1">
      <alignment horizontal="center" vertical="center"/>
    </xf>
    <xf numFmtId="0" fontId="23" fillId="0" borderId="536" xfId="0" applyFont="1" applyBorder="1" applyAlignment="1">
      <alignment horizontal="center" vertical="center"/>
    </xf>
    <xf numFmtId="43" fontId="289" fillId="20" borderId="130" xfId="0" applyNumberFormat="1" applyFont="1" applyFill="1" applyBorder="1" applyAlignment="1">
      <alignment horizontal="center" vertical="center"/>
    </xf>
    <xf numFmtId="0" fontId="23" fillId="0" borderId="537" xfId="0" applyFont="1" applyBorder="1" applyAlignment="1">
      <alignment vertical="center"/>
    </xf>
    <xf numFmtId="43" fontId="289" fillId="20" borderId="21" xfId="0" quotePrefix="1" applyNumberFormat="1" applyFont="1" applyFill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43" fontId="289" fillId="20" borderId="1" xfId="0" quotePrefix="1" applyNumberFormat="1" applyFont="1" applyFill="1" applyBorder="1" applyAlignment="1">
      <alignment horizontal="center" vertical="center"/>
    </xf>
    <xf numFmtId="0" fontId="23" fillId="0" borderId="12" xfId="0" applyFont="1" applyBorder="1" applyAlignment="1">
      <alignment vertical="center"/>
    </xf>
    <xf numFmtId="0" fontId="23" fillId="0" borderId="12" xfId="0" applyFont="1" applyBorder="1" applyAlignment="1">
      <alignment horizontal="center" vertical="center"/>
    </xf>
    <xf numFmtId="43" fontId="22" fillId="0" borderId="487" xfId="0" applyNumberFormat="1" applyFont="1" applyFill="1" applyBorder="1" applyAlignment="1">
      <alignment horizontal="center" vertical="center"/>
    </xf>
    <xf numFmtId="0" fontId="23" fillId="0" borderId="188" xfId="0" applyFont="1" applyFill="1" applyBorder="1" applyAlignment="1">
      <alignment vertical="center"/>
    </xf>
    <xf numFmtId="43" fontId="289" fillId="20" borderId="538" xfId="0" quotePrefix="1" applyNumberFormat="1" applyFont="1" applyFill="1" applyBorder="1" applyAlignment="1">
      <alignment horizontal="center" vertical="center"/>
    </xf>
    <xf numFmtId="43" fontId="289" fillId="20" borderId="130" xfId="0" quotePrefix="1" applyNumberFormat="1" applyFont="1" applyFill="1" applyBorder="1" applyAlignment="1">
      <alignment horizontal="center" vertical="center"/>
    </xf>
    <xf numFmtId="0" fontId="23" fillId="0" borderId="188" xfId="0" applyFont="1" applyBorder="1" applyAlignment="1">
      <alignment vertical="center"/>
    </xf>
    <xf numFmtId="0" fontId="28" fillId="20" borderId="0" xfId="0" applyFont="1" applyFill="1" applyBorder="1"/>
    <xf numFmtId="0" fontId="28" fillId="20" borderId="0" xfId="0" applyFont="1" applyFill="1"/>
    <xf numFmtId="0" fontId="27" fillId="0" borderId="1" xfId="0" applyFont="1" applyBorder="1" applyAlignment="1">
      <alignment horizontal="center" vertical="center"/>
    </xf>
    <xf numFmtId="164" fontId="32" fillId="0" borderId="8" xfId="1" applyFont="1" applyBorder="1" applyAlignment="1">
      <alignment horizontal="center" vertical="center"/>
    </xf>
    <xf numFmtId="164" fontId="32" fillId="0" borderId="71" xfId="1" applyFont="1" applyBorder="1" applyAlignment="1">
      <alignment horizontal="center" vertical="center"/>
    </xf>
    <xf numFmtId="164" fontId="10" fillId="0" borderId="8" xfId="1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164" fontId="29" fillId="0" borderId="71" xfId="1" applyFont="1" applyBorder="1" applyAlignment="1">
      <alignment horizontal="center" vertical="center"/>
    </xf>
    <xf numFmtId="164" fontId="140" fillId="0" borderId="71" xfId="1" applyFont="1" applyBorder="1" applyAlignment="1">
      <alignment horizontal="center" vertical="center"/>
    </xf>
    <xf numFmtId="43" fontId="140" fillId="0" borderId="60" xfId="1" quotePrefix="1" applyNumberFormat="1" applyFont="1" applyBorder="1" applyAlignment="1">
      <alignment horizontal="center" vertical="center"/>
    </xf>
    <xf numFmtId="43" fontId="61" fillId="0" borderId="67" xfId="1" applyNumberFormat="1" applyFont="1" applyBorder="1" applyAlignment="1">
      <alignment vertical="center"/>
    </xf>
    <xf numFmtId="43" fontId="23" fillId="0" borderId="49" xfId="1" applyNumberFormat="1" applyFont="1" applyFill="1" applyBorder="1" applyAlignment="1">
      <alignment vertical="center"/>
    </xf>
    <xf numFmtId="43" fontId="32" fillId="0" borderId="49" xfId="1" applyNumberFormat="1" applyFont="1" applyBorder="1" applyAlignment="1">
      <alignment vertical="center"/>
    </xf>
    <xf numFmtId="49" fontId="27" fillId="0" borderId="49" xfId="0" applyNumberFormat="1" applyFont="1" applyBorder="1" applyAlignment="1">
      <alignment horizontal="center" vertical="center"/>
    </xf>
    <xf numFmtId="49" fontId="143" fillId="0" borderId="49" xfId="0" applyNumberFormat="1" applyFont="1" applyBorder="1" applyAlignment="1">
      <alignment horizontal="center" vertical="center"/>
    </xf>
    <xf numFmtId="49" fontId="143" fillId="0" borderId="49" xfId="0" applyNumberFormat="1" applyFont="1" applyBorder="1" applyAlignment="1">
      <alignment vertical="center"/>
    </xf>
    <xf numFmtId="43" fontId="32" fillId="0" borderId="49" xfId="0" applyNumberFormat="1" applyFont="1" applyFill="1" applyBorder="1" applyAlignment="1">
      <alignment vertical="center"/>
    </xf>
    <xf numFmtId="49" fontId="126" fillId="0" borderId="49" xfId="0" applyNumberFormat="1" applyFont="1" applyBorder="1" applyAlignment="1">
      <alignment vertical="center"/>
    </xf>
    <xf numFmtId="0" fontId="18" fillId="0" borderId="0" xfId="0" applyFont="1" applyBorder="1"/>
    <xf numFmtId="0" fontId="3" fillId="0" borderId="0" xfId="0" applyFont="1" applyBorder="1"/>
    <xf numFmtId="0" fontId="18" fillId="0" borderId="0" xfId="0" applyFont="1" applyBorder="1" applyAlignment="1">
      <alignment horizontal="center"/>
    </xf>
    <xf numFmtId="1" fontId="173" fillId="0" borderId="42" xfId="0" applyNumberFormat="1" applyFont="1" applyFill="1" applyBorder="1" applyAlignment="1">
      <alignment horizontal="center"/>
    </xf>
    <xf numFmtId="49" fontId="138" fillId="0" borderId="42" xfId="1" applyNumberFormat="1" applyFont="1" applyFill="1" applyBorder="1"/>
    <xf numFmtId="49" fontId="138" fillId="0" borderId="42" xfId="1" applyNumberFormat="1" applyFont="1" applyBorder="1"/>
    <xf numFmtId="0" fontId="18" fillId="19" borderId="0" xfId="0" applyFont="1" applyFill="1" applyBorder="1"/>
    <xf numFmtId="0" fontId="3" fillId="19" borderId="0" xfId="0" applyFont="1" applyFill="1" applyBorder="1"/>
    <xf numFmtId="43" fontId="18" fillId="0" borderId="0" xfId="0" applyNumberFormat="1" applyFont="1" applyBorder="1"/>
    <xf numFmtId="0" fontId="14" fillId="0" borderId="0" xfId="0" applyFont="1" applyBorder="1"/>
    <xf numFmtId="43" fontId="23" fillId="0" borderId="539" xfId="1" applyNumberFormat="1" applyFont="1" applyFill="1" applyBorder="1" applyAlignment="1">
      <alignment vertical="center"/>
    </xf>
    <xf numFmtId="43" fontId="32" fillId="0" borderId="539" xfId="1" applyNumberFormat="1" applyFont="1" applyBorder="1" applyAlignment="1">
      <alignment vertical="center"/>
    </xf>
    <xf numFmtId="49" fontId="27" fillId="0" borderId="539" xfId="0" applyNumberFormat="1" applyFont="1" applyBorder="1" applyAlignment="1">
      <alignment horizontal="center" vertical="center"/>
    </xf>
    <xf numFmtId="49" fontId="143" fillId="0" borderId="539" xfId="0" applyNumberFormat="1" applyFont="1" applyBorder="1" applyAlignment="1">
      <alignment horizontal="center" vertical="center"/>
    </xf>
    <xf numFmtId="49" fontId="143" fillId="0" borderId="539" xfId="0" applyNumberFormat="1" applyFont="1" applyBorder="1" applyAlignment="1">
      <alignment vertical="center"/>
    </xf>
    <xf numFmtId="43" fontId="32" fillId="0" borderId="539" xfId="0" applyNumberFormat="1" applyFont="1" applyFill="1" applyBorder="1" applyAlignment="1">
      <alignment vertical="center"/>
    </xf>
    <xf numFmtId="49" fontId="126" fillId="0" borderId="539" xfId="0" applyNumberFormat="1" applyFont="1" applyBorder="1" applyAlignment="1">
      <alignment vertical="center"/>
    </xf>
    <xf numFmtId="0" fontId="138" fillId="0" borderId="539" xfId="0" applyFont="1" applyBorder="1"/>
    <xf numFmtId="0" fontId="1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8" fillId="0" borderId="540" xfId="0" applyFont="1" applyBorder="1"/>
    <xf numFmtId="43" fontId="32" fillId="20" borderId="540" xfId="0" applyNumberFormat="1" applyFont="1" applyFill="1" applyBorder="1"/>
    <xf numFmtId="43" fontId="2" fillId="20" borderId="540" xfId="0" applyNumberFormat="1" applyFont="1" applyFill="1" applyBorder="1" applyAlignment="1">
      <alignment horizontal="center" vertical="center"/>
    </xf>
    <xf numFmtId="0" fontId="32" fillId="20" borderId="540" xfId="0" applyFont="1" applyFill="1" applyBorder="1"/>
    <xf numFmtId="0" fontId="138" fillId="20" borderId="540" xfId="0" applyFont="1" applyFill="1" applyBorder="1"/>
    <xf numFmtId="0" fontId="18" fillId="20" borderId="540" xfId="0" applyFont="1" applyFill="1" applyBorder="1"/>
    <xf numFmtId="0" fontId="32" fillId="0" borderId="540" xfId="0" applyFont="1" applyBorder="1"/>
    <xf numFmtId="0" fontId="138" fillId="0" borderId="541" xfId="0" applyFont="1" applyBorder="1"/>
    <xf numFmtId="43" fontId="138" fillId="0" borderId="49" xfId="1" applyNumberFormat="1" applyFont="1" applyFill="1" applyBorder="1" applyAlignment="1">
      <alignment vertical="center"/>
    </xf>
    <xf numFmtId="43" fontId="146" fillId="0" borderId="49" xfId="1" applyNumberFormat="1" applyFont="1" applyBorder="1" applyAlignment="1">
      <alignment vertical="center"/>
    </xf>
    <xf numFmtId="44" fontId="150" fillId="0" borderId="49" xfId="0" applyNumberFormat="1" applyFont="1" applyBorder="1" applyAlignment="1">
      <alignment horizontal="center" vertical="center"/>
    </xf>
    <xf numFmtId="0" fontId="138" fillId="0" borderId="49" xfId="0" applyFont="1" applyBorder="1" applyAlignment="1">
      <alignment vertical="center"/>
    </xf>
    <xf numFmtId="43" fontId="138" fillId="0" borderId="49" xfId="0" applyNumberFormat="1" applyFont="1" applyFill="1" applyBorder="1" applyAlignment="1">
      <alignment vertical="center"/>
    </xf>
    <xf numFmtId="0" fontId="165" fillId="0" borderId="49" xfId="0" applyFont="1" applyFill="1" applyBorder="1" applyAlignment="1">
      <alignment vertical="center"/>
    </xf>
    <xf numFmtId="0" fontId="138" fillId="0" borderId="49" xfId="0" applyFont="1" applyFill="1" applyBorder="1" applyAlignment="1">
      <alignment vertical="center"/>
    </xf>
    <xf numFmtId="43" fontId="172" fillId="0" borderId="49" xfId="0" applyNumberFormat="1" applyFont="1" applyFill="1" applyBorder="1" applyAlignment="1">
      <alignment horizontal="center" vertical="center"/>
    </xf>
    <xf numFmtId="43" fontId="171" fillId="0" borderId="49" xfId="0" applyNumberFormat="1" applyFont="1" applyFill="1" applyBorder="1" applyAlignment="1">
      <alignment vertical="center"/>
    </xf>
    <xf numFmtId="0" fontId="138" fillId="0" borderId="48" xfId="0" applyFont="1" applyBorder="1" applyAlignment="1">
      <alignment vertical="center"/>
    </xf>
    <xf numFmtId="0" fontId="146" fillId="0" borderId="0" xfId="0" applyFont="1" applyBorder="1" applyAlignment="1">
      <alignment vertical="center"/>
    </xf>
    <xf numFmtId="0" fontId="138" fillId="0" borderId="42" xfId="0" applyFont="1" applyBorder="1" applyAlignment="1">
      <alignment vertical="center"/>
    </xf>
    <xf numFmtId="0" fontId="23" fillId="0" borderId="0" xfId="0" quotePrefix="1" applyFont="1" applyBorder="1" applyAlignment="1">
      <alignment horizontal="center" vertical="center"/>
    </xf>
    <xf numFmtId="43" fontId="23" fillId="0" borderId="40" xfId="1" applyNumberFormat="1" applyFont="1" applyFill="1" applyBorder="1" applyAlignment="1">
      <alignment vertical="center"/>
    </xf>
    <xf numFmtId="43" fontId="32" fillId="0" borderId="40" xfId="1" applyNumberFormat="1" applyFont="1" applyBorder="1" applyAlignment="1">
      <alignment vertical="center"/>
    </xf>
    <xf numFmtId="49" fontId="27" fillId="0" borderId="40" xfId="0" applyNumberFormat="1" applyFont="1" applyBorder="1" applyAlignment="1">
      <alignment horizontal="center" vertical="center"/>
    </xf>
    <xf numFmtId="49" fontId="143" fillId="0" borderId="40" xfId="0" applyNumberFormat="1" applyFont="1" applyBorder="1" applyAlignment="1">
      <alignment horizontal="center" vertical="center"/>
    </xf>
    <xf numFmtId="49" fontId="143" fillId="0" borderId="40" xfId="0" applyNumberFormat="1" applyFont="1" applyBorder="1" applyAlignment="1">
      <alignment vertical="center"/>
    </xf>
    <xf numFmtId="43" fontId="32" fillId="0" borderId="40" xfId="0" applyNumberFormat="1" applyFont="1" applyFill="1" applyBorder="1" applyAlignment="1">
      <alignment vertical="center"/>
    </xf>
    <xf numFmtId="49" fontId="126" fillId="0" borderId="40" xfId="0" applyNumberFormat="1" applyFont="1" applyBorder="1" applyAlignment="1">
      <alignment vertical="center"/>
    </xf>
    <xf numFmtId="0" fontId="146" fillId="0" borderId="49" xfId="0" applyFont="1" applyBorder="1"/>
    <xf numFmtId="0" fontId="135" fillId="0" borderId="4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43" fontId="138" fillId="0" borderId="40" xfId="1" applyNumberFormat="1" applyFont="1" applyFill="1" applyBorder="1" applyAlignment="1">
      <alignment vertical="center"/>
    </xf>
    <xf numFmtId="43" fontId="146" fillId="0" borderId="40" xfId="1" applyNumberFormat="1" applyFont="1" applyBorder="1" applyAlignment="1">
      <alignment vertical="center"/>
    </xf>
    <xf numFmtId="44" fontId="150" fillId="0" borderId="40" xfId="0" applyNumberFormat="1" applyFont="1" applyBorder="1" applyAlignment="1">
      <alignment horizontal="center" vertical="center"/>
    </xf>
    <xf numFmtId="43" fontId="138" fillId="0" borderId="40" xfId="0" applyNumberFormat="1" applyFont="1" applyFill="1" applyBorder="1" applyAlignment="1">
      <alignment vertical="center"/>
    </xf>
    <xf numFmtId="0" fontId="165" fillId="0" borderId="40" xfId="0" applyFont="1" applyFill="1" applyBorder="1" applyAlignment="1">
      <alignment vertical="center"/>
    </xf>
    <xf numFmtId="0" fontId="138" fillId="0" borderId="40" xfId="0" applyFont="1" applyFill="1" applyBorder="1" applyAlignment="1">
      <alignment vertical="center"/>
    </xf>
    <xf numFmtId="43" fontId="172" fillId="0" borderId="40" xfId="0" applyNumberFormat="1" applyFont="1" applyFill="1" applyBorder="1" applyAlignment="1">
      <alignment horizontal="center" vertical="center"/>
    </xf>
    <xf numFmtId="43" fontId="171" fillId="0" borderId="40" xfId="0" applyNumberFormat="1" applyFont="1" applyFill="1" applyBorder="1" applyAlignment="1">
      <alignment vertical="center"/>
    </xf>
    <xf numFmtId="0" fontId="138" fillId="0" borderId="39" xfId="0" applyFont="1" applyBorder="1" applyAlignment="1">
      <alignment vertical="center"/>
    </xf>
    <xf numFmtId="43" fontId="124" fillId="0" borderId="10" xfId="1" applyNumberFormat="1" applyFont="1" applyBorder="1" applyAlignment="1">
      <alignment horizontal="center" vertical="center"/>
    </xf>
    <xf numFmtId="43" fontId="124" fillId="0" borderId="324" xfId="1" applyNumberFormat="1" applyFont="1" applyBorder="1" applyAlignment="1">
      <alignment horizontal="center" vertical="center"/>
    </xf>
    <xf numFmtId="164" fontId="320" fillId="0" borderId="44" xfId="1" applyFont="1" applyBorder="1" applyAlignment="1">
      <alignment horizontal="center"/>
    </xf>
    <xf numFmtId="164" fontId="319" fillId="0" borderId="44" xfId="1" applyFont="1" applyBorder="1" applyAlignment="1">
      <alignment horizontal="center"/>
    </xf>
    <xf numFmtId="0" fontId="23" fillId="0" borderId="2" xfId="0" applyFont="1" applyBorder="1" applyAlignment="1">
      <alignment vertical="center"/>
    </xf>
    <xf numFmtId="43" fontId="124" fillId="0" borderId="60" xfId="1" applyNumberFormat="1" applyFont="1" applyBorder="1" applyAlignment="1"/>
    <xf numFmtId="1" fontId="90" fillId="7" borderId="3" xfId="3" applyNumberFormat="1" applyFont="1" applyFill="1" applyBorder="1" applyAlignment="1">
      <alignment horizontal="center" vertical="center"/>
    </xf>
    <xf numFmtId="1" fontId="90" fillId="7" borderId="4" xfId="3" applyNumberFormat="1" applyFont="1" applyFill="1" applyBorder="1" applyAlignment="1">
      <alignment horizontal="center" vertical="center"/>
    </xf>
    <xf numFmtId="43" fontId="124" fillId="0" borderId="60" xfId="1" applyNumberFormat="1" applyFont="1" applyBorder="1" applyAlignment="1">
      <alignment vertical="center"/>
    </xf>
    <xf numFmtId="44" fontId="23" fillId="0" borderId="534" xfId="0" applyNumberFormat="1" applyFont="1" applyBorder="1" applyAlignment="1">
      <alignment horizontal="center" vertical="center"/>
    </xf>
    <xf numFmtId="0" fontId="120" fillId="0" borderId="0" xfId="0" applyNumberFormat="1" applyFont="1" applyBorder="1" applyAlignment="1">
      <alignment horizontal="center"/>
    </xf>
    <xf numFmtId="43" fontId="29" fillId="38" borderId="182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3" fontId="30" fillId="38" borderId="262" xfId="0" applyNumberFormat="1" applyFont="1" applyFill="1" applyBorder="1"/>
    <xf numFmtId="43" fontId="322" fillId="38" borderId="10" xfId="0" applyNumberFormat="1" applyFont="1" applyFill="1" applyBorder="1" applyAlignment="1">
      <alignment horizontal="center"/>
    </xf>
    <xf numFmtId="43" fontId="143" fillId="0" borderId="37" xfId="1" quotePrefix="1" applyNumberFormat="1" applyFont="1" applyBorder="1" applyAlignment="1">
      <alignment horizontal="center" vertical="center"/>
    </xf>
    <xf numFmtId="164" fontId="138" fillId="0" borderId="0" xfId="1" applyFont="1" applyBorder="1" applyAlignment="1">
      <alignment horizontal="center" vertical="center"/>
    </xf>
    <xf numFmtId="164" fontId="0" fillId="0" borderId="0" xfId="1" applyFont="1" applyBorder="1" applyAlignment="1">
      <alignment horizontal="center" vertical="center"/>
    </xf>
    <xf numFmtId="43" fontId="124" fillId="0" borderId="530" xfId="1" quotePrefix="1" applyNumberFormat="1" applyFont="1" applyBorder="1" applyAlignment="1">
      <alignment horizontal="center" vertical="center"/>
    </xf>
    <xf numFmtId="0" fontId="138" fillId="0" borderId="43" xfId="0" applyFont="1" applyFill="1" applyBorder="1" applyAlignment="1">
      <alignment vertical="center"/>
    </xf>
    <xf numFmtId="43" fontId="161" fillId="0" borderId="43" xfId="0" applyNumberFormat="1" applyFont="1" applyFill="1" applyBorder="1" applyAlignment="1"/>
    <xf numFmtId="43" fontId="138" fillId="0" borderId="41" xfId="0" applyNumberFormat="1" applyFont="1" applyFill="1" applyBorder="1" applyAlignment="1"/>
    <xf numFmtId="0" fontId="138" fillId="0" borderId="40" xfId="0" applyFont="1" applyFill="1" applyBorder="1"/>
    <xf numFmtId="0" fontId="146" fillId="0" borderId="40" xfId="0" applyFont="1" applyFill="1" applyBorder="1"/>
    <xf numFmtId="0" fontId="138" fillId="0" borderId="39" xfId="0" applyFont="1" applyFill="1" applyBorder="1"/>
    <xf numFmtId="44" fontId="323" fillId="0" borderId="542" xfId="1" applyNumberFormat="1" applyFont="1" applyBorder="1"/>
    <xf numFmtId="0" fontId="138" fillId="0" borderId="542" xfId="0" applyFont="1" applyBorder="1" applyAlignment="1">
      <alignment vertical="center"/>
    </xf>
    <xf numFmtId="44" fontId="143" fillId="0" borderId="37" xfId="1" quotePrefix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3" fontId="30" fillId="38" borderId="1" xfId="0" applyNumberFormat="1" applyFont="1" applyFill="1" applyBorder="1" applyAlignment="1">
      <alignment horizontal="center"/>
    </xf>
    <xf numFmtId="43" fontId="30" fillId="38" borderId="1" xfId="0" applyNumberFormat="1" applyFont="1" applyFill="1" applyBorder="1"/>
    <xf numFmtId="43" fontId="30" fillId="38" borderId="210" xfId="0" applyNumberFormat="1" applyFont="1" applyFill="1" applyBorder="1"/>
    <xf numFmtId="43" fontId="30" fillId="38" borderId="445" xfId="0" applyNumberFormat="1" applyFont="1" applyFill="1" applyBorder="1"/>
    <xf numFmtId="43" fontId="30" fillId="38" borderId="389" xfId="0" applyNumberFormat="1" applyFont="1" applyFill="1" applyBorder="1" applyAlignment="1">
      <alignment horizontal="center"/>
    </xf>
    <xf numFmtId="43" fontId="30" fillId="38" borderId="21" xfId="0" applyNumberFormat="1" applyFont="1" applyFill="1" applyBorder="1" applyAlignment="1">
      <alignment horizontal="center"/>
    </xf>
    <xf numFmtId="43" fontId="124" fillId="0" borderId="358" xfId="1" applyNumberFormat="1" applyFont="1" applyBorder="1"/>
    <xf numFmtId="0" fontId="10" fillId="7" borderId="4" xfId="3" applyFont="1" applyFill="1" applyBorder="1" applyAlignment="1">
      <alignment horizontal="center"/>
    </xf>
    <xf numFmtId="0" fontId="10" fillId="0" borderId="0" xfId="3" applyFont="1" applyAlignment="1">
      <alignment horizontal="center"/>
    </xf>
    <xf numFmtId="43" fontId="25" fillId="0" borderId="60" xfId="1" quotePrefix="1" applyNumberFormat="1" applyFont="1" applyBorder="1"/>
    <xf numFmtId="0" fontId="10" fillId="0" borderId="7" xfId="0" applyFont="1" applyFill="1" applyBorder="1" applyAlignment="1">
      <alignment horizontal="left"/>
    </xf>
    <xf numFmtId="164" fontId="32" fillId="0" borderId="0" xfId="1" quotePrefix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3" fontId="124" fillId="0" borderId="37" xfId="1" quotePrefix="1" applyNumberFormat="1" applyFont="1" applyBorder="1"/>
    <xf numFmtId="43" fontId="124" fillId="0" borderId="530" xfId="1" quotePrefix="1" applyNumberFormat="1" applyFont="1" applyBorder="1"/>
    <xf numFmtId="0" fontId="71" fillId="0" borderId="0" xfId="0" applyFont="1" applyBorder="1" applyAlignment="1"/>
    <xf numFmtId="1" fontId="325" fillId="0" borderId="0" xfId="3" applyNumberFormat="1" applyFont="1" applyAlignment="1">
      <alignment horizontal="center"/>
    </xf>
    <xf numFmtId="0" fontId="326" fillId="0" borderId="0" xfId="3" applyFont="1"/>
    <xf numFmtId="0" fontId="327" fillId="0" borderId="1" xfId="0" applyFont="1" applyBorder="1" applyAlignment="1">
      <alignment horizontal="right"/>
    </xf>
    <xf numFmtId="0" fontId="327" fillId="0" borderId="355" xfId="0" applyFont="1" applyBorder="1" applyAlignment="1">
      <alignment horizontal="right"/>
    </xf>
    <xf numFmtId="0" fontId="10" fillId="0" borderId="0" xfId="0" applyFont="1" applyBorder="1" applyAlignment="1" applyProtection="1">
      <alignment horizontal="right"/>
      <protection locked="0"/>
    </xf>
    <xf numFmtId="0" fontId="2" fillId="0" borderId="443" xfId="0" applyFont="1" applyBorder="1" applyAlignment="1" applyProtection="1">
      <alignment horizontal="right"/>
      <protection locked="0"/>
    </xf>
    <xf numFmtId="0" fontId="2" fillId="0" borderId="37" xfId="0" applyFont="1" applyBorder="1" applyAlignment="1" applyProtection="1">
      <alignment horizontal="right"/>
      <protection locked="0"/>
    </xf>
    <xf numFmtId="43" fontId="287" fillId="20" borderId="21" xfId="0" applyNumberFormat="1" applyFont="1" applyFill="1" applyBorder="1" applyAlignment="1">
      <alignment horizontal="center"/>
    </xf>
    <xf numFmtId="43" fontId="143" fillId="0" borderId="333" xfId="1" quotePrefix="1" applyNumberFormat="1" applyFont="1" applyBorder="1" applyAlignment="1">
      <alignment horizontal="center"/>
    </xf>
    <xf numFmtId="49" fontId="175" fillId="16" borderId="0" xfId="0" applyNumberFormat="1" applyFont="1" applyFill="1" applyBorder="1" applyAlignment="1">
      <alignment horizontal="center" vertical="center"/>
    </xf>
    <xf numFmtId="49" fontId="142" fillId="19" borderId="0" xfId="0" applyNumberFormat="1" applyFont="1" applyFill="1" applyBorder="1" applyAlignment="1">
      <alignment horizontal="center" vertical="center"/>
    </xf>
    <xf numFmtId="49" fontId="176" fillId="16" borderId="0" xfId="0" applyNumberFormat="1" applyFont="1" applyFill="1" applyBorder="1" applyAlignment="1">
      <alignment horizontal="center" vertical="center"/>
    </xf>
    <xf numFmtId="43" fontId="138" fillId="0" borderId="0" xfId="0" applyNumberFormat="1" applyFont="1" applyFill="1" applyBorder="1" applyAlignment="1">
      <alignment horizontal="center" vertical="center"/>
    </xf>
    <xf numFmtId="49" fontId="150" fillId="19" borderId="0" xfId="0" applyNumberFormat="1" applyFont="1" applyFill="1" applyBorder="1" applyAlignment="1">
      <alignment horizontal="center" vertical="center"/>
    </xf>
    <xf numFmtId="43" fontId="143" fillId="0" borderId="333" xfId="1" quotePrefix="1" applyNumberFormat="1" applyFont="1" applyBorder="1" applyAlignment="1">
      <alignment horizontal="center" vertical="center"/>
    </xf>
    <xf numFmtId="43" fontId="138" fillId="0" borderId="0" xfId="0" applyNumberFormat="1" applyFont="1" applyBorder="1" applyAlignment="1">
      <alignment horizontal="center" vertical="center"/>
    </xf>
    <xf numFmtId="43" fontId="143" fillId="0" borderId="333" xfId="1" applyNumberFormat="1" applyFont="1" applyBorder="1" applyAlignment="1">
      <alignment horizontal="center" vertical="center"/>
    </xf>
    <xf numFmtId="170" fontId="138" fillId="0" borderId="0" xfId="0" applyNumberFormat="1" applyFont="1" applyBorder="1" applyAlignment="1">
      <alignment horizontal="center" vertical="center"/>
    </xf>
    <xf numFmtId="43" fontId="160" fillId="0" borderId="0" xfId="0" applyNumberFormat="1" applyFont="1" applyBorder="1" applyAlignment="1">
      <alignment horizontal="center" vertical="center"/>
    </xf>
    <xf numFmtId="0" fontId="138" fillId="0" borderId="43" xfId="0" applyFont="1" applyFill="1" applyBorder="1" applyAlignment="1">
      <alignment horizontal="center" vertical="center"/>
    </xf>
    <xf numFmtId="43" fontId="138" fillId="0" borderId="0" xfId="1" applyNumberFormat="1" applyFont="1" applyFill="1" applyBorder="1" applyAlignment="1">
      <alignment horizontal="center" vertical="center"/>
    </xf>
    <xf numFmtId="2" fontId="162" fillId="0" borderId="0" xfId="1" applyNumberFormat="1" applyFont="1" applyFill="1" applyBorder="1" applyAlignment="1">
      <alignment horizontal="center" vertical="center"/>
    </xf>
    <xf numFmtId="164" fontId="138" fillId="0" borderId="0" xfId="1" applyFont="1" applyFill="1" applyBorder="1" applyAlignment="1">
      <alignment horizontal="center" vertical="center"/>
    </xf>
    <xf numFmtId="0" fontId="138" fillId="0" borderId="0" xfId="0" applyFont="1" applyFill="1" applyBorder="1" applyAlignment="1">
      <alignment horizontal="center" vertical="center"/>
    </xf>
    <xf numFmtId="0" fontId="165" fillId="0" borderId="0" xfId="0" applyFont="1" applyFill="1" applyBorder="1" applyAlignment="1">
      <alignment horizontal="center" vertical="center"/>
    </xf>
    <xf numFmtId="43" fontId="162" fillId="0" borderId="0" xfId="1" applyNumberFormat="1" applyFont="1" applyFill="1" applyBorder="1" applyAlignment="1">
      <alignment horizontal="center" vertical="center"/>
    </xf>
    <xf numFmtId="43" fontId="171" fillId="0" borderId="0" xfId="0" applyNumberFormat="1" applyFont="1" applyFill="1" applyBorder="1" applyAlignment="1">
      <alignment horizontal="center" vertical="center"/>
    </xf>
    <xf numFmtId="0" fontId="138" fillId="0" borderId="42" xfId="0" applyFont="1" applyFill="1" applyBorder="1" applyAlignment="1">
      <alignment horizontal="center" vertical="center"/>
    </xf>
    <xf numFmtId="44" fontId="84" fillId="17" borderId="37" xfId="1" applyNumberFormat="1" applyFont="1" applyFill="1" applyBorder="1" applyAlignment="1">
      <alignment horizontal="center" vertical="center"/>
    </xf>
    <xf numFmtId="44" fontId="150" fillId="17" borderId="0" xfId="1" applyNumberFormat="1" applyFont="1" applyFill="1" applyBorder="1" applyAlignment="1">
      <alignment horizontal="center" vertical="center"/>
    </xf>
    <xf numFmtId="44" fontId="24" fillId="42" borderId="0" xfId="0" applyNumberFormat="1" applyFont="1" applyFill="1" applyAlignment="1">
      <alignment horizontal="center" vertical="center"/>
    </xf>
    <xf numFmtId="0" fontId="18" fillId="0" borderId="12" xfId="3" applyBorder="1" applyAlignment="1">
      <alignment horizontal="center"/>
    </xf>
    <xf numFmtId="0" fontId="18" fillId="0" borderId="15" xfId="3" applyBorder="1" applyAlignment="1">
      <alignment horizontal="center"/>
    </xf>
    <xf numFmtId="0" fontId="18" fillId="0" borderId="2" xfId="3" applyBorder="1" applyAlignment="1">
      <alignment horizontal="center"/>
    </xf>
    <xf numFmtId="0" fontId="18" fillId="0" borderId="3" xfId="3" applyBorder="1" applyAlignment="1">
      <alignment horizontal="center"/>
    </xf>
    <xf numFmtId="0" fontId="0" fillId="0" borderId="7" xfId="3" applyFont="1" applyBorder="1" applyAlignment="1">
      <alignment horizontal="center"/>
    </xf>
    <xf numFmtId="0" fontId="0" fillId="0" borderId="8" xfId="3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1" fillId="0" borderId="7" xfId="0" applyFont="1" applyBorder="1" applyAlignment="1">
      <alignment horizontal="center"/>
    </xf>
    <xf numFmtId="0" fontId="71" fillId="0" borderId="8" xfId="0" applyFont="1" applyBorder="1" applyAlignment="1">
      <alignment horizontal="center"/>
    </xf>
    <xf numFmtId="0" fontId="71" fillId="0" borderId="9" xfId="0" applyFont="1" applyBorder="1" applyAlignment="1">
      <alignment horizontal="center"/>
    </xf>
    <xf numFmtId="0" fontId="69" fillId="0" borderId="0" xfId="3" applyFont="1" applyAlignment="1">
      <alignment horizontal="center"/>
    </xf>
    <xf numFmtId="0" fontId="0" fillId="0" borderId="0" xfId="3" applyFont="1" applyAlignment="1">
      <alignment horizontal="center"/>
    </xf>
    <xf numFmtId="0" fontId="18" fillId="0" borderId="0" xfId="3" applyAlignment="1">
      <alignment horizontal="center"/>
    </xf>
    <xf numFmtId="0" fontId="0" fillId="0" borderId="0" xfId="3" applyFont="1" applyFill="1" applyBorder="1" applyAlignment="1">
      <alignment horizontal="center"/>
    </xf>
    <xf numFmtId="0" fontId="18" fillId="0" borderId="0" xfId="3" applyFill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18" fillId="0" borderId="0" xfId="3" applyBorder="1" applyAlignment="1">
      <alignment horizontal="center"/>
    </xf>
    <xf numFmtId="0" fontId="17" fillId="0" borderId="12" xfId="3" applyFont="1" applyBorder="1" applyAlignment="1">
      <alignment horizontal="center"/>
    </xf>
    <xf numFmtId="0" fontId="17" fillId="0" borderId="15" xfId="3" applyFont="1" applyBorder="1" applyAlignment="1">
      <alignment horizontal="center"/>
    </xf>
    <xf numFmtId="0" fontId="17" fillId="0" borderId="13" xfId="3" applyFont="1" applyBorder="1" applyAlignment="1">
      <alignment horizontal="center"/>
    </xf>
    <xf numFmtId="0" fontId="0" fillId="0" borderId="0" xfId="3" applyFont="1" applyBorder="1" applyAlignment="1">
      <alignment horizontal="center"/>
    </xf>
    <xf numFmtId="43" fontId="143" fillId="0" borderId="37" xfId="1" quotePrefix="1" applyNumberFormat="1" applyFont="1" applyBorder="1" applyAlignment="1">
      <alignment horizontal="center" vertical="center"/>
    </xf>
    <xf numFmtId="0" fontId="9" fillId="0" borderId="0" xfId="3" applyFont="1" applyFill="1" applyBorder="1" applyAlignment="1">
      <alignment horizontal="center"/>
    </xf>
    <xf numFmtId="0" fontId="248" fillId="0" borderId="12" xfId="0" applyFont="1" applyBorder="1" applyAlignment="1">
      <alignment horizontal="center"/>
    </xf>
    <xf numFmtId="0" fontId="248" fillId="0" borderId="13" xfId="0" applyFont="1" applyBorder="1" applyAlignment="1">
      <alignment horizontal="center"/>
    </xf>
    <xf numFmtId="0" fontId="278" fillId="0" borderId="424" xfId="0" applyFont="1" applyBorder="1" applyAlignment="1">
      <alignment horizontal="center"/>
    </xf>
    <xf numFmtId="0" fontId="278" fillId="0" borderId="515" xfId="0" applyFont="1" applyBorder="1" applyAlignment="1">
      <alignment horizontal="center"/>
    </xf>
    <xf numFmtId="0" fontId="31" fillId="0" borderId="370" xfId="0" applyFont="1" applyBorder="1" applyAlignment="1">
      <alignment horizontal="center"/>
    </xf>
    <xf numFmtId="0" fontId="31" fillId="0" borderId="371" xfId="0" applyFont="1" applyBorder="1" applyAlignment="1">
      <alignment horizontal="center"/>
    </xf>
    <xf numFmtId="0" fontId="243" fillId="0" borderId="0" xfId="0" applyFont="1" applyFill="1" applyBorder="1" applyAlignment="1">
      <alignment horizontal="center" vertical="center"/>
    </xf>
    <xf numFmtId="0" fontId="262" fillId="0" borderId="8" xfId="0" applyFont="1" applyFill="1" applyBorder="1" applyAlignment="1">
      <alignment horizontal="center"/>
    </xf>
    <xf numFmtId="0" fontId="132" fillId="0" borderId="0" xfId="0" applyFont="1" applyFill="1" applyAlignment="1">
      <alignment horizontal="left"/>
    </xf>
    <xf numFmtId="0" fontId="90" fillId="0" borderId="188" xfId="0" applyFont="1" applyBorder="1" applyAlignment="1">
      <alignment horizontal="center"/>
    </xf>
    <xf numFmtId="0" fontId="90" fillId="0" borderId="502" xfId="0" applyFont="1" applyBorder="1" applyAlignment="1">
      <alignment horizontal="center"/>
    </xf>
    <xf numFmtId="0" fontId="13" fillId="0" borderId="17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258" fillId="0" borderId="12" xfId="0" applyFont="1" applyBorder="1" applyAlignment="1">
      <alignment horizontal="center"/>
    </xf>
    <xf numFmtId="0" fontId="258" fillId="0" borderId="13" xfId="0" applyFont="1" applyBorder="1" applyAlignment="1">
      <alignment horizontal="center"/>
    </xf>
    <xf numFmtId="14" fontId="243" fillId="0" borderId="0" xfId="0" applyNumberFormat="1" applyFont="1" applyBorder="1" applyAlignment="1">
      <alignment horizontal="center"/>
    </xf>
    <xf numFmtId="0" fontId="102" fillId="28" borderId="7" xfId="3" applyFont="1" applyFill="1" applyBorder="1" applyAlignment="1">
      <alignment horizontal="center" vertical="center"/>
    </xf>
    <xf numFmtId="0" fontId="102" fillId="28" borderId="9" xfId="3" applyFont="1" applyFill="1" applyBorder="1" applyAlignment="1">
      <alignment horizontal="center" vertical="center"/>
    </xf>
    <xf numFmtId="0" fontId="79" fillId="0" borderId="2" xfId="3" applyFont="1" applyBorder="1" applyAlignment="1">
      <alignment horizontal="center"/>
    </xf>
    <xf numFmtId="0" fontId="79" fillId="0" borderId="4" xfId="3" applyFont="1" applyBorder="1" applyAlignment="1">
      <alignment horizontal="center"/>
    </xf>
    <xf numFmtId="0" fontId="83" fillId="0" borderId="320" xfId="3" applyFont="1" applyBorder="1" applyAlignment="1">
      <alignment horizontal="center"/>
    </xf>
    <xf numFmtId="0" fontId="83" fillId="0" borderId="321" xfId="3" applyFont="1" applyBorder="1" applyAlignment="1">
      <alignment horizontal="center"/>
    </xf>
    <xf numFmtId="43" fontId="111" fillId="5" borderId="343" xfId="3" applyNumberFormat="1" applyFont="1" applyFill="1" applyBorder="1" applyAlignment="1">
      <alignment horizontal="center" vertical="center"/>
    </xf>
    <xf numFmtId="43" fontId="111" fillId="5" borderId="280" xfId="3" applyNumberFormat="1" applyFont="1" applyFill="1" applyBorder="1" applyAlignment="1">
      <alignment horizontal="center" vertical="center"/>
    </xf>
    <xf numFmtId="43" fontId="111" fillId="5" borderId="344" xfId="3" applyNumberFormat="1" applyFont="1" applyFill="1" applyBorder="1" applyAlignment="1">
      <alignment horizontal="center" vertical="center"/>
    </xf>
    <xf numFmtId="0" fontId="99" fillId="0" borderId="5" xfId="3" applyFont="1" applyBorder="1" applyAlignment="1">
      <alignment horizontal="center"/>
    </xf>
    <xf numFmtId="0" fontId="99" fillId="0" borderId="0" xfId="3" applyFont="1" applyBorder="1" applyAlignment="1">
      <alignment horizontal="center"/>
    </xf>
    <xf numFmtId="0" fontId="99" fillId="0" borderId="6" xfId="3" applyFont="1" applyBorder="1" applyAlignment="1">
      <alignment horizontal="center"/>
    </xf>
    <xf numFmtId="0" fontId="105" fillId="3" borderId="7" xfId="3" applyFont="1" applyFill="1" applyBorder="1" applyAlignment="1">
      <alignment horizontal="center" vertical="center"/>
    </xf>
    <xf numFmtId="0" fontId="105" fillId="3" borderId="8" xfId="3" applyFont="1" applyFill="1" applyBorder="1" applyAlignment="1">
      <alignment horizontal="center" vertical="center"/>
    </xf>
    <xf numFmtId="0" fontId="83" fillId="0" borderId="7" xfId="3" applyFont="1" applyFill="1" applyBorder="1" applyAlignment="1">
      <alignment horizontal="center"/>
    </xf>
    <xf numFmtId="0" fontId="83" fillId="0" borderId="8" xfId="3" applyFont="1" applyFill="1" applyBorder="1" applyAlignment="1">
      <alignment horizontal="center"/>
    </xf>
    <xf numFmtId="1" fontId="98" fillId="33" borderId="40" xfId="3" applyNumberFormat="1" applyFont="1" applyFill="1" applyBorder="1" applyAlignment="1">
      <alignment horizontal="center"/>
    </xf>
    <xf numFmtId="0" fontId="87" fillId="33" borderId="279" xfId="3" applyFont="1" applyFill="1" applyBorder="1" applyAlignment="1">
      <alignment horizontal="center" vertical="center"/>
    </xf>
    <xf numFmtId="0" fontId="87" fillId="33" borderId="48" xfId="3" applyFont="1" applyFill="1" applyBorder="1" applyAlignment="1">
      <alignment horizontal="center" vertical="center"/>
    </xf>
    <xf numFmtId="44" fontId="96" fillId="19" borderId="314" xfId="3" applyNumberFormat="1" applyFont="1" applyFill="1" applyBorder="1" applyAlignment="1">
      <alignment horizontal="center" vertical="center"/>
    </xf>
    <xf numFmtId="44" fontId="96" fillId="19" borderId="49" xfId="3" applyNumberFormat="1" applyFont="1" applyFill="1" applyBorder="1" applyAlignment="1">
      <alignment horizontal="center" vertical="center"/>
    </xf>
    <xf numFmtId="44" fontId="96" fillId="19" borderId="315" xfId="3" applyNumberFormat="1" applyFont="1" applyFill="1" applyBorder="1" applyAlignment="1">
      <alignment horizontal="center" vertical="center"/>
    </xf>
    <xf numFmtId="49" fontId="103" fillId="28" borderId="7" xfId="3" applyNumberFormat="1" applyFont="1" applyFill="1" applyBorder="1" applyAlignment="1">
      <alignment horizontal="center" vertical="center"/>
    </xf>
    <xf numFmtId="49" fontId="103" fillId="28" borderId="8" xfId="3" applyNumberFormat="1" applyFont="1" applyFill="1" applyBorder="1" applyAlignment="1">
      <alignment horizontal="center" vertical="center"/>
    </xf>
    <xf numFmtId="0" fontId="83" fillId="0" borderId="246" xfId="3" applyFont="1" applyBorder="1" applyAlignment="1">
      <alignment horizontal="center"/>
    </xf>
    <xf numFmtId="0" fontId="83" fillId="0" borderId="14" xfId="3" applyFont="1" applyBorder="1" applyAlignment="1">
      <alignment horizontal="center"/>
    </xf>
    <xf numFmtId="0" fontId="83" fillId="0" borderId="247" xfId="3" applyFont="1" applyBorder="1" applyAlignment="1">
      <alignment horizontal="center"/>
    </xf>
    <xf numFmtId="0" fontId="101" fillId="28" borderId="7" xfId="3" applyFont="1" applyFill="1" applyBorder="1" applyAlignment="1">
      <alignment horizontal="center" vertical="center"/>
    </xf>
    <xf numFmtId="0" fontId="101" fillId="28" borderId="9" xfId="3" applyFont="1" applyFill="1" applyBorder="1" applyAlignment="1">
      <alignment horizontal="center" vertical="center"/>
    </xf>
    <xf numFmtId="1" fontId="98" fillId="7" borderId="15" xfId="3" applyNumberFormat="1" applyFont="1" applyFill="1" applyBorder="1" applyAlignment="1">
      <alignment horizontal="center" vertical="center"/>
    </xf>
    <xf numFmtId="0" fontId="94" fillId="0" borderId="0" xfId="3" applyFont="1" applyBorder="1" applyAlignment="1">
      <alignment horizontal="center" wrapText="1"/>
    </xf>
    <xf numFmtId="0" fontId="93" fillId="0" borderId="15" xfId="3" applyFont="1" applyBorder="1" applyAlignment="1">
      <alignment horizontal="center" vertical="center"/>
    </xf>
    <xf numFmtId="1" fontId="89" fillId="8" borderId="57" xfId="3" applyNumberFormat="1" applyFont="1" applyFill="1" applyBorder="1" applyAlignment="1">
      <alignment horizontal="center"/>
    </xf>
    <xf numFmtId="43" fontId="106" fillId="5" borderId="40" xfId="3" applyNumberFormat="1" applyFont="1" applyFill="1" applyBorder="1" applyAlignment="1">
      <alignment horizontal="center"/>
    </xf>
    <xf numFmtId="165" fontId="99" fillId="28" borderId="0" xfId="3" applyNumberFormat="1" applyFont="1" applyFill="1" applyBorder="1" applyAlignment="1">
      <alignment horizontal="center"/>
    </xf>
    <xf numFmtId="165" fontId="3" fillId="0" borderId="273" xfId="3" applyNumberFormat="1" applyFont="1" applyFill="1" applyBorder="1" applyAlignment="1">
      <alignment horizontal="center"/>
    </xf>
    <xf numFmtId="165" fontId="82" fillId="0" borderId="382" xfId="3" applyNumberFormat="1" applyFont="1" applyFill="1" applyBorder="1" applyAlignment="1">
      <alignment horizontal="center"/>
    </xf>
    <xf numFmtId="0" fontId="313" fillId="5" borderId="3" xfId="3" applyFont="1" applyFill="1" applyBorder="1" applyAlignment="1">
      <alignment horizontal="center" vertical="center"/>
    </xf>
    <xf numFmtId="0" fontId="313" fillId="5" borderId="4" xfId="3" applyFont="1" applyFill="1" applyBorder="1" applyAlignment="1">
      <alignment horizontal="center" vertical="center"/>
    </xf>
    <xf numFmtId="0" fontId="99" fillId="0" borderId="343" xfId="3" applyFont="1" applyFill="1" applyBorder="1" applyAlignment="1">
      <alignment horizontal="center"/>
    </xf>
    <xf numFmtId="0" fontId="99" fillId="0" borderId="344" xfId="3" applyFont="1" applyFill="1" applyBorder="1" applyAlignment="1">
      <alignment horizontal="center"/>
    </xf>
    <xf numFmtId="49" fontId="103" fillId="7" borderId="7" xfId="3" applyNumberFormat="1" applyFont="1" applyFill="1" applyBorder="1" applyAlignment="1">
      <alignment horizontal="center" vertical="center"/>
    </xf>
    <xf numFmtId="49" fontId="103" fillId="7" borderId="8" xfId="3" applyNumberFormat="1" applyFont="1" applyFill="1" applyBorder="1" applyAlignment="1">
      <alignment horizontal="center" vertical="center"/>
    </xf>
    <xf numFmtId="0" fontId="94" fillId="0" borderId="275" xfId="3" applyFont="1" applyFill="1" applyBorder="1" applyAlignment="1">
      <alignment horizontal="center"/>
    </xf>
    <xf numFmtId="0" fontId="94" fillId="0" borderId="203" xfId="3" applyFont="1" applyFill="1" applyBorder="1" applyAlignment="1">
      <alignment horizontal="center"/>
    </xf>
    <xf numFmtId="0" fontId="94" fillId="0" borderId="276" xfId="3" applyFont="1" applyFill="1" applyBorder="1" applyAlignment="1">
      <alignment horizontal="center"/>
    </xf>
    <xf numFmtId="0" fontId="94" fillId="0" borderId="275" xfId="3" applyFont="1" applyFill="1" applyBorder="1" applyAlignment="1">
      <alignment horizontal="center" vertical="center"/>
    </xf>
    <xf numFmtId="0" fontId="94" fillId="0" borderId="203" xfId="3" applyFont="1" applyFill="1" applyBorder="1" applyAlignment="1">
      <alignment horizontal="center" vertical="center"/>
    </xf>
    <xf numFmtId="0" fontId="94" fillId="0" borderId="276" xfId="3" applyFont="1" applyFill="1" applyBorder="1" applyAlignment="1">
      <alignment horizontal="center" vertical="center"/>
    </xf>
    <xf numFmtId="0" fontId="120" fillId="7" borderId="1" xfId="3" applyFont="1" applyFill="1" applyBorder="1" applyAlignment="1">
      <alignment horizontal="center"/>
    </xf>
    <xf numFmtId="44" fontId="115" fillId="19" borderId="314" xfId="3" applyNumberFormat="1" applyFont="1" applyFill="1" applyBorder="1" applyAlignment="1">
      <alignment horizontal="center" vertical="center"/>
    </xf>
    <xf numFmtId="44" fontId="115" fillId="19" borderId="49" xfId="3" applyNumberFormat="1" applyFont="1" applyFill="1" applyBorder="1" applyAlignment="1">
      <alignment horizontal="center" vertical="center"/>
    </xf>
    <xf numFmtId="44" fontId="115" fillId="19" borderId="315" xfId="3" applyNumberFormat="1" applyFont="1" applyFill="1" applyBorder="1" applyAlignment="1">
      <alignment horizontal="center" vertical="center"/>
    </xf>
    <xf numFmtId="1" fontId="115" fillId="37" borderId="0" xfId="3" applyNumberFormat="1" applyFont="1" applyFill="1" applyAlignment="1">
      <alignment horizontal="center"/>
    </xf>
    <xf numFmtId="1" fontId="115" fillId="37" borderId="0" xfId="3" applyNumberFormat="1" applyFont="1" applyFill="1" applyBorder="1" applyAlignment="1">
      <alignment horizontal="center"/>
    </xf>
    <xf numFmtId="0" fontId="4" fillId="0" borderId="322" xfId="3" applyFont="1" applyBorder="1" applyAlignment="1">
      <alignment horizontal="center" vertical="center"/>
    </xf>
    <xf numFmtId="0" fontId="83" fillId="0" borderId="322" xfId="3" applyFont="1" applyBorder="1" applyAlignment="1">
      <alignment horizontal="center" vertical="center"/>
    </xf>
    <xf numFmtId="0" fontId="83" fillId="0" borderId="323" xfId="3" applyFont="1" applyBorder="1" applyAlignment="1">
      <alignment horizontal="center" vertical="center"/>
    </xf>
    <xf numFmtId="0" fontId="117" fillId="0" borderId="248" xfId="3" applyFont="1" applyBorder="1" applyAlignment="1">
      <alignment horizontal="center"/>
    </xf>
    <xf numFmtId="0" fontId="117" fillId="0" borderId="249" xfId="3" applyFont="1" applyBorder="1" applyAlignment="1">
      <alignment horizontal="center"/>
    </xf>
    <xf numFmtId="0" fontId="117" fillId="0" borderId="250" xfId="3" applyFont="1" applyBorder="1" applyAlignment="1">
      <alignment horizontal="center"/>
    </xf>
    <xf numFmtId="0" fontId="85" fillId="9" borderId="252" xfId="3" applyFont="1" applyFill="1" applyBorder="1" applyAlignment="1">
      <alignment horizontal="center" vertical="center"/>
    </xf>
    <xf numFmtId="0" fontId="85" fillId="9" borderId="280" xfId="3" applyFont="1" applyFill="1" applyBorder="1" applyAlignment="1">
      <alignment horizontal="center" vertical="center"/>
    </xf>
    <xf numFmtId="0" fontId="85" fillId="9" borderId="281" xfId="3" applyFont="1" applyFill="1" applyBorder="1" applyAlignment="1">
      <alignment horizontal="center" vertical="center"/>
    </xf>
    <xf numFmtId="0" fontId="120" fillId="0" borderId="1" xfId="3" applyFont="1" applyFill="1" applyBorder="1" applyAlignment="1">
      <alignment horizontal="center"/>
    </xf>
    <xf numFmtId="1" fontId="94" fillId="0" borderId="10" xfId="3" applyNumberFormat="1" applyFont="1" applyBorder="1" applyAlignment="1">
      <alignment horizontal="center"/>
    </xf>
    <xf numFmtId="1" fontId="94" fillId="0" borderId="4" xfId="3" applyNumberFormat="1" applyFont="1" applyBorder="1" applyAlignment="1">
      <alignment horizontal="center"/>
    </xf>
    <xf numFmtId="0" fontId="85" fillId="0" borderId="0" xfId="3" applyFont="1" applyFill="1" applyBorder="1" applyAlignment="1">
      <alignment horizontal="center" vertical="center"/>
    </xf>
    <xf numFmtId="0" fontId="121" fillId="31" borderId="0" xfId="3" applyFont="1" applyFill="1" applyBorder="1" applyAlignment="1">
      <alignment horizontal="center"/>
    </xf>
    <xf numFmtId="43" fontId="106" fillId="0" borderId="1" xfId="3" applyNumberFormat="1" applyFont="1" applyFill="1" applyBorder="1" applyAlignment="1">
      <alignment horizontal="center"/>
    </xf>
    <xf numFmtId="0" fontId="82" fillId="0" borderId="11" xfId="3" applyFont="1" applyFill="1" applyBorder="1" applyAlignment="1">
      <alignment horizontal="center"/>
    </xf>
    <xf numFmtId="0" fontId="94" fillId="0" borderId="7" xfId="3" applyFont="1" applyFill="1" applyBorder="1" applyAlignment="1">
      <alignment horizontal="center"/>
    </xf>
    <xf numFmtId="0" fontId="94" fillId="0" borderId="9" xfId="3" applyFont="1" applyFill="1" applyBorder="1" applyAlignment="1">
      <alignment horizontal="center"/>
    </xf>
    <xf numFmtId="0" fontId="99" fillId="0" borderId="1" xfId="3" applyFont="1" applyFill="1" applyBorder="1" applyAlignment="1">
      <alignment horizontal="center"/>
    </xf>
    <xf numFmtId="1" fontId="96" fillId="0" borderId="15" xfId="3" applyNumberFormat="1" applyFont="1" applyFill="1" applyBorder="1" applyAlignment="1">
      <alignment horizontal="center"/>
    </xf>
    <xf numFmtId="1" fontId="96" fillId="31" borderId="15" xfId="3" applyNumberFormat="1" applyFont="1" applyFill="1" applyBorder="1" applyAlignment="1">
      <alignment horizontal="center"/>
    </xf>
    <xf numFmtId="0" fontId="79" fillId="0" borderId="354" xfId="3" applyFont="1" applyBorder="1" applyAlignment="1">
      <alignment horizontal="center"/>
    </xf>
    <xf numFmtId="0" fontId="79" fillId="0" borderId="13" xfId="3" applyFont="1" applyBorder="1" applyAlignment="1">
      <alignment horizontal="center"/>
    </xf>
    <xf numFmtId="0" fontId="86" fillId="30" borderId="203" xfId="3" applyFont="1" applyFill="1" applyBorder="1" applyAlignment="1">
      <alignment horizontal="center"/>
    </xf>
    <xf numFmtId="0" fontId="107" fillId="0" borderId="2" xfId="3" applyFont="1" applyFill="1" applyBorder="1" applyAlignment="1">
      <alignment horizontal="center" vertical="center"/>
    </xf>
    <xf numFmtId="0" fontId="107" fillId="0" borderId="3" xfId="3" applyFont="1" applyFill="1" applyBorder="1" applyAlignment="1">
      <alignment horizontal="center" vertical="center"/>
    </xf>
    <xf numFmtId="0" fontId="107" fillId="0" borderId="4" xfId="3" applyFont="1" applyFill="1" applyBorder="1" applyAlignment="1">
      <alignment horizontal="center" vertical="center"/>
    </xf>
    <xf numFmtId="0" fontId="32" fillId="0" borderId="463" xfId="0" applyFont="1" applyBorder="1" applyAlignment="1">
      <alignment horizontal="center" vertical="center"/>
    </xf>
    <xf numFmtId="0" fontId="32" fillId="0" borderId="464" xfId="0" applyFont="1" applyBorder="1" applyAlignment="1">
      <alignment horizontal="center" vertical="center"/>
    </xf>
    <xf numFmtId="164" fontId="32" fillId="9" borderId="53" xfId="1" applyFont="1" applyFill="1" applyBorder="1" applyAlignment="1">
      <alignment horizontal="center"/>
    </xf>
    <xf numFmtId="164" fontId="32" fillId="9" borderId="0" xfId="1" applyFont="1" applyFill="1" applyBorder="1" applyAlignment="1">
      <alignment horizontal="center"/>
    </xf>
    <xf numFmtId="0" fontId="124" fillId="0" borderId="459" xfId="0" applyFont="1" applyBorder="1" applyAlignment="1">
      <alignment horizontal="center"/>
    </xf>
    <xf numFmtId="0" fontId="124" fillId="0" borderId="460" xfId="0" applyFont="1" applyBorder="1" applyAlignment="1">
      <alignment horizontal="center"/>
    </xf>
    <xf numFmtId="0" fontId="32" fillId="0" borderId="212" xfId="0" applyFont="1" applyBorder="1" applyAlignment="1">
      <alignment horizontal="center"/>
    </xf>
    <xf numFmtId="0" fontId="32" fillId="0" borderId="214" xfId="0" applyFont="1" applyBorder="1" applyAlignment="1">
      <alignment horizontal="center"/>
    </xf>
    <xf numFmtId="0" fontId="319" fillId="0" borderId="459" xfId="0" applyFont="1" applyBorder="1" applyAlignment="1">
      <alignment horizontal="center"/>
    </xf>
    <xf numFmtId="0" fontId="319" fillId="0" borderId="460" xfId="0" applyFont="1" applyBorder="1" applyAlignment="1">
      <alignment horizontal="center"/>
    </xf>
    <xf numFmtId="0" fontId="319" fillId="0" borderId="461" xfId="0" applyFont="1" applyBorder="1" applyAlignment="1">
      <alignment horizontal="center"/>
    </xf>
    <xf numFmtId="0" fontId="319" fillId="0" borderId="462" xfId="0" applyFont="1" applyBorder="1" applyAlignment="1">
      <alignment horizontal="center"/>
    </xf>
    <xf numFmtId="0" fontId="319" fillId="0" borderId="463" xfId="0" applyFont="1" applyBorder="1" applyAlignment="1">
      <alignment horizontal="center"/>
    </xf>
    <xf numFmtId="0" fontId="319" fillId="0" borderId="464" xfId="0" applyFont="1" applyBorder="1" applyAlignment="1">
      <alignment horizontal="center"/>
    </xf>
    <xf numFmtId="0" fontId="124" fillId="0" borderId="461" xfId="0" applyFont="1" applyBorder="1" applyAlignment="1">
      <alignment horizontal="center"/>
    </xf>
    <xf numFmtId="0" fontId="124" fillId="0" borderId="462" xfId="0" applyFont="1" applyBorder="1" applyAlignment="1">
      <alignment horizontal="center"/>
    </xf>
    <xf numFmtId="0" fontId="124" fillId="0" borderId="463" xfId="0" applyFont="1" applyBorder="1" applyAlignment="1">
      <alignment horizontal="center"/>
    </xf>
    <xf numFmtId="0" fontId="124" fillId="0" borderId="464" xfId="0" applyFont="1" applyBorder="1" applyAlignment="1">
      <alignment horizontal="center"/>
    </xf>
    <xf numFmtId="0" fontId="315" fillId="0" borderId="0" xfId="0" applyFont="1" applyBorder="1" applyAlignment="1">
      <alignment horizontal="center" vertical="center"/>
    </xf>
    <xf numFmtId="0" fontId="60" fillId="0" borderId="53" xfId="0" applyFont="1" applyBorder="1" applyAlignment="1">
      <alignment horizontal="center"/>
    </xf>
    <xf numFmtId="0" fontId="60" fillId="0" borderId="0" xfId="0" applyFont="1" applyBorder="1" applyAlignment="1">
      <alignment horizontal="center"/>
    </xf>
    <xf numFmtId="0" fontId="60" fillId="0" borderId="212" xfId="0" applyFont="1" applyBorder="1" applyAlignment="1">
      <alignment horizontal="center"/>
    </xf>
    <xf numFmtId="0" fontId="60" fillId="0" borderId="214" xfId="0" applyFont="1" applyBorder="1" applyAlignment="1">
      <alignment horizontal="center"/>
    </xf>
    <xf numFmtId="0" fontId="32" fillId="7" borderId="494" xfId="1" applyNumberFormat="1" applyFont="1" applyFill="1" applyBorder="1" applyAlignment="1">
      <alignment horizontal="center" vertical="center"/>
    </xf>
    <xf numFmtId="0" fontId="32" fillId="7" borderId="495" xfId="1" applyNumberFormat="1" applyFont="1" applyFill="1" applyBorder="1" applyAlignment="1">
      <alignment horizontal="center" vertical="center"/>
    </xf>
    <xf numFmtId="164" fontId="32" fillId="9" borderId="492" xfId="1" applyFont="1" applyFill="1" applyBorder="1" applyAlignment="1">
      <alignment horizontal="center" vertical="center"/>
    </xf>
    <xf numFmtId="164" fontId="32" fillId="9" borderId="493" xfId="1" applyFont="1" applyFill="1" applyBorder="1" applyAlignment="1">
      <alignment horizontal="center" vertical="center"/>
    </xf>
    <xf numFmtId="49" fontId="96" fillId="0" borderId="0" xfId="0" applyNumberFormat="1" applyFont="1" applyBorder="1" applyAlignment="1">
      <alignment horizontal="center" vertical="center"/>
    </xf>
    <xf numFmtId="49" fontId="318" fillId="0" borderId="0" xfId="0" applyNumberFormat="1" applyFont="1" applyBorder="1" applyAlignment="1">
      <alignment horizontal="center" vertical="center"/>
    </xf>
    <xf numFmtId="0" fontId="32" fillId="0" borderId="459" xfId="0" applyFont="1" applyBorder="1" applyAlignment="1">
      <alignment horizontal="center" vertical="center"/>
    </xf>
    <xf numFmtId="0" fontId="32" fillId="0" borderId="460" xfId="0" applyFont="1" applyBorder="1" applyAlignment="1">
      <alignment horizontal="center" vertical="center"/>
    </xf>
    <xf numFmtId="0" fontId="32" fillId="0" borderId="461" xfId="0" applyFont="1" applyBorder="1" applyAlignment="1">
      <alignment horizontal="center" vertical="center"/>
    </xf>
    <xf numFmtId="0" fontId="32" fillId="0" borderId="462" xfId="0" applyFont="1" applyBorder="1" applyAlignment="1">
      <alignment horizontal="center" vertical="center"/>
    </xf>
    <xf numFmtId="0" fontId="65" fillId="0" borderId="0" xfId="0" applyFont="1" applyAlignment="1">
      <alignment horizontal="center"/>
    </xf>
    <xf numFmtId="13" fontId="114" fillId="0" borderId="0" xfId="1" applyNumberFormat="1" applyFont="1" applyFill="1" applyBorder="1" applyAlignment="1">
      <alignment horizontal="center" vertical="center"/>
    </xf>
    <xf numFmtId="43" fontId="114" fillId="0" borderId="0" xfId="1" applyNumberFormat="1" applyFont="1" applyFill="1" applyBorder="1" applyAlignment="1">
      <alignment horizontal="center" vertical="center"/>
    </xf>
    <xf numFmtId="0" fontId="32" fillId="0" borderId="11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164" fontId="32" fillId="3" borderId="65" xfId="1" applyFont="1" applyFill="1" applyBorder="1" applyAlignment="1">
      <alignment horizontal="center"/>
    </xf>
    <xf numFmtId="164" fontId="32" fillId="3" borderId="64" xfId="1" applyFont="1" applyFill="1" applyBorder="1" applyAlignment="1">
      <alignment horizontal="center"/>
    </xf>
    <xf numFmtId="164" fontId="32" fillId="7" borderId="63" xfId="1" applyFont="1" applyFill="1" applyBorder="1" applyAlignment="1">
      <alignment horizontal="center"/>
    </xf>
    <xf numFmtId="164" fontId="32" fillId="7" borderId="62" xfId="1" applyFont="1" applyFill="1" applyBorder="1" applyAlignment="1">
      <alignment horizontal="center"/>
    </xf>
    <xf numFmtId="0" fontId="143" fillId="0" borderId="6" xfId="0" applyFont="1" applyBorder="1" applyAlignment="1">
      <alignment horizontal="center"/>
    </xf>
    <xf numFmtId="0" fontId="143" fillId="0" borderId="11" xfId="0" applyFont="1" applyBorder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84" fillId="0" borderId="0" xfId="1" applyNumberFormat="1" applyFont="1" applyFill="1" applyBorder="1" applyAlignment="1">
      <alignment horizontal="center" vertical="center"/>
    </xf>
    <xf numFmtId="0" fontId="60" fillId="0" borderId="0" xfId="0" applyFont="1" applyAlignment="1">
      <alignment horizontal="center"/>
    </xf>
    <xf numFmtId="43" fontId="124" fillId="0" borderId="0" xfId="1" applyNumberFormat="1" applyFont="1" applyBorder="1" applyAlignment="1">
      <alignment horizontal="center"/>
    </xf>
    <xf numFmtId="43" fontId="124" fillId="0" borderId="6" xfId="1" applyNumberFormat="1" applyFont="1" applyBorder="1" applyAlignment="1">
      <alignment horizontal="center"/>
    </xf>
    <xf numFmtId="43" fontId="124" fillId="0" borderId="5" xfId="1" applyNumberFormat="1" applyFont="1" applyBorder="1" applyAlignment="1">
      <alignment horizontal="center" vertical="center"/>
    </xf>
    <xf numFmtId="43" fontId="124" fillId="0" borderId="0" xfId="1" applyNumberFormat="1" applyFont="1" applyBorder="1" applyAlignment="1">
      <alignment horizontal="center" vertical="center"/>
    </xf>
    <xf numFmtId="43" fontId="124" fillId="0" borderId="385" xfId="1" applyNumberFormat="1" applyFont="1" applyBorder="1" applyAlignment="1">
      <alignment horizontal="center" vertical="center"/>
    </xf>
    <xf numFmtId="43" fontId="124" fillId="0" borderId="210" xfId="1" applyNumberFormat="1" applyFont="1" applyBorder="1" applyAlignment="1">
      <alignment horizontal="center" vertical="center"/>
    </xf>
    <xf numFmtId="164" fontId="65" fillId="0" borderId="0" xfId="1" applyFont="1" applyBorder="1" applyAlignment="1">
      <alignment horizontal="center"/>
    </xf>
    <xf numFmtId="0" fontId="60" fillId="0" borderId="210" xfId="0" applyFont="1" applyBorder="1" applyAlignment="1">
      <alignment horizontal="center"/>
    </xf>
    <xf numFmtId="0" fontId="316" fillId="0" borderId="0" xfId="0" applyFont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14" fillId="0" borderId="228" xfId="0" applyFont="1" applyBorder="1" applyAlignment="1">
      <alignment horizontal="center" vertical="center"/>
    </xf>
    <xf numFmtId="0" fontId="14" fillId="0" borderId="21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63" fillId="0" borderId="40" xfId="0" applyFont="1" applyFill="1" applyBorder="1" applyAlignment="1">
      <alignment horizontal="center" vertical="center"/>
    </xf>
    <xf numFmtId="43" fontId="140" fillId="0" borderId="0" xfId="0" applyNumberFormat="1" applyFont="1" applyAlignment="1">
      <alignment horizontal="center"/>
    </xf>
    <xf numFmtId="0" fontId="90" fillId="0" borderId="51" xfId="0" applyFont="1" applyBorder="1" applyAlignment="1">
      <alignment horizontal="center" vertical="center"/>
    </xf>
    <xf numFmtId="43" fontId="12" fillId="0" borderId="40" xfId="0" applyNumberFormat="1" applyFont="1" applyBorder="1" applyAlignment="1">
      <alignment horizontal="center" vertical="center"/>
    </xf>
    <xf numFmtId="43" fontId="6" fillId="0" borderId="40" xfId="0" applyNumberFormat="1" applyFont="1" applyBorder="1" applyAlignment="1">
      <alignment horizontal="center" vertical="center"/>
    </xf>
    <xf numFmtId="43" fontId="150" fillId="4" borderId="3" xfId="1" applyNumberFormat="1" applyFont="1" applyFill="1" applyBorder="1" applyAlignment="1">
      <alignment horizontal="center"/>
    </xf>
    <xf numFmtId="43" fontId="150" fillId="4" borderId="154" xfId="1" applyNumberFormat="1" applyFont="1" applyFill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43" fontId="9" fillId="4" borderId="3" xfId="1" applyNumberFormat="1" applyFont="1" applyFill="1" applyBorder="1" applyAlignment="1">
      <alignment horizontal="center" vertical="center"/>
    </xf>
    <xf numFmtId="43" fontId="150" fillId="4" borderId="154" xfId="1" applyNumberFormat="1" applyFont="1" applyFill="1" applyBorder="1" applyAlignment="1">
      <alignment horizontal="center" vertical="center"/>
    </xf>
    <xf numFmtId="164" fontId="2" fillId="0" borderId="279" xfId="1" applyFont="1" applyFill="1" applyBorder="1" applyAlignment="1">
      <alignment horizontal="center"/>
    </xf>
    <xf numFmtId="164" fontId="2" fillId="0" borderId="49" xfId="1" applyFont="1" applyFill="1" applyBorder="1" applyAlignment="1">
      <alignment horizontal="center"/>
    </xf>
    <xf numFmtId="164" fontId="2" fillId="0" borderId="48" xfId="1" applyFont="1" applyFill="1" applyBorder="1" applyAlignment="1">
      <alignment horizontal="center"/>
    </xf>
    <xf numFmtId="0" fontId="315" fillId="0" borderId="0" xfId="0" applyFont="1" applyBorder="1" applyAlignment="1">
      <alignment horizontal="center"/>
    </xf>
    <xf numFmtId="0" fontId="315" fillId="0" borderId="219" xfId="0" applyFont="1" applyBorder="1" applyAlignment="1">
      <alignment horizontal="center"/>
    </xf>
    <xf numFmtId="0" fontId="10" fillId="0" borderId="0" xfId="0" applyFont="1" applyAlignment="1">
      <alignment horizontal="center"/>
    </xf>
    <xf numFmtId="43" fontId="11" fillId="0" borderId="40" xfId="0" applyNumberFormat="1" applyFont="1" applyBorder="1" applyAlignment="1">
      <alignment horizontal="center" vertical="center"/>
    </xf>
    <xf numFmtId="0" fontId="163" fillId="0" borderId="0" xfId="0" applyFont="1" applyFill="1" applyBorder="1" applyAlignment="1">
      <alignment horizontal="center" vertical="center"/>
    </xf>
    <xf numFmtId="43" fontId="140" fillId="0" borderId="0" xfId="0" applyNumberFormat="1" applyFont="1" applyBorder="1" applyAlignment="1">
      <alignment horizontal="center"/>
    </xf>
    <xf numFmtId="0" fontId="32" fillId="0" borderId="210" xfId="0" applyFont="1" applyBorder="1" applyAlignment="1">
      <alignment horizontal="center"/>
    </xf>
    <xf numFmtId="0" fontId="321" fillId="0" borderId="0" xfId="0" applyFont="1" applyAlignment="1">
      <alignment horizontal="center"/>
    </xf>
    <xf numFmtId="0" fontId="317" fillId="0" borderId="0" xfId="0" applyFont="1" applyFill="1" applyBorder="1" applyAlignment="1">
      <alignment horizontal="center"/>
    </xf>
    <xf numFmtId="0" fontId="315" fillId="0" borderId="218" xfId="0" applyFont="1" applyBorder="1" applyAlignment="1">
      <alignment horizontal="center"/>
    </xf>
    <xf numFmtId="0" fontId="143" fillId="0" borderId="0" xfId="0" applyFont="1" applyBorder="1" applyAlignment="1">
      <alignment horizontal="center"/>
    </xf>
    <xf numFmtId="43" fontId="124" fillId="0" borderId="0" xfId="0" applyNumberFormat="1" applyFont="1" applyAlignment="1">
      <alignment horizontal="center" vertical="center"/>
    </xf>
    <xf numFmtId="164" fontId="32" fillId="3" borderId="449" xfId="1" applyFont="1" applyFill="1" applyBorder="1" applyAlignment="1">
      <alignment horizontal="center"/>
    </xf>
    <xf numFmtId="0" fontId="143" fillId="0" borderId="448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32" fillId="0" borderId="446" xfId="0" applyFont="1" applyBorder="1" applyAlignment="1">
      <alignment horizontal="center"/>
    </xf>
    <xf numFmtId="0" fontId="32" fillId="0" borderId="447" xfId="0" applyFont="1" applyBorder="1" applyAlignment="1">
      <alignment horizontal="center"/>
    </xf>
    <xf numFmtId="0" fontId="18" fillId="16" borderId="0" xfId="0" applyFont="1" applyFill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317" fillId="15" borderId="0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/>
    </xf>
    <xf numFmtId="49" fontId="32" fillId="0" borderId="0" xfId="1" applyNumberFormat="1" applyFont="1" applyBorder="1" applyAlignment="1">
      <alignment horizontal="center"/>
    </xf>
    <xf numFmtId="0" fontId="140" fillId="0" borderId="0" xfId="0" applyFont="1" applyBorder="1" applyAlignment="1">
      <alignment horizontal="center"/>
    </xf>
    <xf numFmtId="0" fontId="24" fillId="7" borderId="457" xfId="1" applyNumberFormat="1" applyFont="1" applyFill="1" applyBorder="1" applyAlignment="1">
      <alignment horizontal="center"/>
    </xf>
    <xf numFmtId="0" fontId="24" fillId="7" borderId="458" xfId="1" applyNumberFormat="1" applyFont="1" applyFill="1" applyBorder="1" applyAlignment="1">
      <alignment horizontal="center"/>
    </xf>
    <xf numFmtId="0" fontId="27" fillId="19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0" fillId="0" borderId="461" xfId="0" applyFont="1" applyBorder="1" applyAlignment="1">
      <alignment horizontal="center" vertical="center"/>
    </xf>
    <xf numFmtId="0" fontId="60" fillId="0" borderId="462" xfId="0" applyFont="1" applyBorder="1" applyAlignment="1">
      <alignment horizontal="center" vertical="center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10" xfId="0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40" xfId="0" applyFont="1" applyBorder="1" applyAlignment="1" applyProtection="1">
      <alignment horizontal="right"/>
      <protection locked="0"/>
    </xf>
    <xf numFmtId="0" fontId="1" fillId="0" borderId="357" xfId="0" applyFont="1" applyBorder="1" applyAlignment="1" applyProtection="1">
      <alignment horizontal="right"/>
      <protection locked="0"/>
    </xf>
    <xf numFmtId="0" fontId="0" fillId="0" borderId="48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0" fontId="48" fillId="0" borderId="37" xfId="0" applyFont="1" applyBorder="1" applyAlignment="1" applyProtection="1">
      <alignment horizontal="left"/>
      <protection locked="0"/>
    </xf>
    <xf numFmtId="0" fontId="1" fillId="0" borderId="210" xfId="0" applyFont="1" applyBorder="1" applyAlignment="1" applyProtection="1">
      <alignment horizontal="center"/>
      <protection locked="0"/>
    </xf>
    <xf numFmtId="0" fontId="1" fillId="0" borderId="356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37" xfId="0" applyFont="1" applyBorder="1" applyAlignment="1" applyProtection="1">
      <alignment horizontal="center"/>
      <protection locked="0"/>
    </xf>
    <xf numFmtId="0" fontId="0" fillId="0" borderId="210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45" fillId="0" borderId="5" xfId="0" applyFont="1" applyBorder="1" applyAlignment="1" applyProtection="1">
      <alignment horizontal="left"/>
      <protection locked="0"/>
    </xf>
    <xf numFmtId="0" fontId="45" fillId="0" borderId="0" xfId="0" applyFont="1" applyBorder="1" applyAlignment="1" applyProtection="1">
      <alignment horizontal="left"/>
      <protection locked="0"/>
    </xf>
    <xf numFmtId="0" fontId="1" fillId="0" borderId="273" xfId="0" applyFont="1" applyBorder="1" applyAlignment="1" applyProtection="1">
      <alignment horizontal="center"/>
      <protection locked="0"/>
    </xf>
    <xf numFmtId="0" fontId="1" fillId="0" borderId="497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15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54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3" fillId="0" borderId="38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 wrapText="1"/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157" xfId="0" applyFont="1" applyBorder="1" applyAlignment="1" applyProtection="1">
      <alignment horizontal="center"/>
      <protection locked="0"/>
    </xf>
    <xf numFmtId="164" fontId="203" fillId="0" borderId="98" xfId="1" applyFont="1" applyBorder="1" applyAlignment="1">
      <alignment horizontal="center" vertical="center"/>
    </xf>
    <xf numFmtId="164" fontId="203" fillId="0" borderId="100" xfId="1" applyFont="1" applyBorder="1" applyAlignment="1">
      <alignment horizontal="center" vertical="center"/>
    </xf>
    <xf numFmtId="0" fontId="199" fillId="0" borderId="98" xfId="0" applyFont="1" applyBorder="1"/>
    <xf numFmtId="0" fontId="199" fillId="0" borderId="100" xfId="0" applyFont="1" applyBorder="1"/>
    <xf numFmtId="0" fontId="204" fillId="0" borderId="84" xfId="0" applyFont="1" applyBorder="1" applyAlignment="1">
      <alignment horizontal="center" vertical="center"/>
    </xf>
    <xf numFmtId="0" fontId="204" fillId="0" borderId="85" xfId="0" applyFont="1" applyBorder="1" applyAlignment="1">
      <alignment horizontal="center" vertical="center"/>
    </xf>
    <xf numFmtId="0" fontId="209" fillId="0" borderId="85" xfId="0" applyFont="1" applyBorder="1" applyAlignment="1">
      <alignment horizontal="center" vertical="center"/>
    </xf>
    <xf numFmtId="0" fontId="209" fillId="0" borderId="86" xfId="0" applyFont="1" applyBorder="1" applyAlignment="1">
      <alignment horizontal="center" vertical="center"/>
    </xf>
    <xf numFmtId="0" fontId="209" fillId="0" borderId="87" xfId="0" applyFont="1" applyBorder="1" applyAlignment="1">
      <alignment horizontal="center" vertical="center"/>
    </xf>
    <xf numFmtId="0" fontId="204" fillId="0" borderId="87" xfId="0" applyFont="1" applyBorder="1" applyAlignment="1">
      <alignment horizontal="center" vertical="center"/>
    </xf>
    <xf numFmtId="0" fontId="206" fillId="0" borderId="0" xfId="0" applyFont="1" applyBorder="1" applyAlignment="1">
      <alignment horizontal="center" vertical="center"/>
    </xf>
    <xf numFmtId="0" fontId="206" fillId="0" borderId="93" xfId="0" applyFont="1" applyBorder="1" applyAlignment="1">
      <alignment horizontal="center" vertical="center"/>
    </xf>
    <xf numFmtId="0" fontId="203" fillId="0" borderId="81" xfId="0" applyFont="1" applyBorder="1" applyAlignment="1">
      <alignment horizontal="center" vertical="center"/>
    </xf>
    <xf numFmtId="0" fontId="203" fillId="0" borderId="82" xfId="0" applyFont="1" applyBorder="1" applyAlignment="1">
      <alignment horizontal="center" vertical="center"/>
    </xf>
    <xf numFmtId="0" fontId="198" fillId="0" borderId="82" xfId="0" applyFont="1" applyBorder="1" applyAlignment="1">
      <alignment horizontal="center" vertical="center"/>
    </xf>
    <xf numFmtId="0" fontId="198" fillId="0" borderId="83" xfId="0" applyFont="1" applyBorder="1" applyAlignment="1">
      <alignment horizontal="center" vertical="center"/>
    </xf>
    <xf numFmtId="0" fontId="205" fillId="0" borderId="0" xfId="0" applyFont="1" applyBorder="1" applyAlignment="1">
      <alignment horizontal="center" vertical="center"/>
    </xf>
    <xf numFmtId="0" fontId="206" fillId="0" borderId="40" xfId="0" applyFont="1" applyFill="1" applyBorder="1" applyAlignment="1">
      <alignment horizontal="center" vertical="center"/>
    </xf>
    <xf numFmtId="0" fontId="206" fillId="0" borderId="104" xfId="0" applyFont="1" applyFill="1" applyBorder="1" applyAlignment="1">
      <alignment horizontal="center" vertical="center"/>
    </xf>
    <xf numFmtId="0" fontId="206" fillId="0" borderId="98" xfId="0" applyFont="1" applyBorder="1" applyAlignment="1">
      <alignment horizontal="center" vertical="center"/>
    </xf>
    <xf numFmtId="0" fontId="206" fillId="0" borderId="100" xfId="0" applyFont="1" applyBorder="1" applyAlignment="1">
      <alignment horizontal="center" vertical="center"/>
    </xf>
    <xf numFmtId="0" fontId="206" fillId="0" borderId="99" xfId="0" applyFont="1" applyBorder="1" applyAlignment="1">
      <alignment horizontal="center" vertical="center"/>
    </xf>
    <xf numFmtId="43" fontId="203" fillId="0" borderId="98" xfId="0" applyNumberFormat="1" applyFont="1" applyFill="1" applyBorder="1" applyAlignment="1">
      <alignment horizontal="center" vertical="center"/>
    </xf>
    <xf numFmtId="43" fontId="203" fillId="0" borderId="100" xfId="0" applyNumberFormat="1" applyFont="1" applyFill="1" applyBorder="1" applyAlignment="1">
      <alignment horizontal="center" vertical="center"/>
    </xf>
    <xf numFmtId="0" fontId="198" fillId="0" borderId="77" xfId="0" applyFont="1" applyBorder="1" applyAlignment="1">
      <alignment horizontal="center" vertical="center"/>
    </xf>
    <xf numFmtId="0" fontId="203" fillId="0" borderId="77" xfId="0" applyFont="1" applyBorder="1" applyAlignment="1">
      <alignment horizontal="center" vertical="center"/>
    </xf>
    <xf numFmtId="0" fontId="204" fillId="0" borderId="46" xfId="0" applyFont="1" applyBorder="1" applyAlignment="1">
      <alignment horizontal="center" vertical="center"/>
    </xf>
    <xf numFmtId="0" fontId="204" fillId="0" borderId="38" xfId="0" applyFont="1" applyBorder="1" applyAlignment="1">
      <alignment horizontal="center" vertical="center"/>
    </xf>
    <xf numFmtId="0" fontId="204" fillId="0" borderId="45" xfId="0" applyFont="1" applyBorder="1" applyAlignment="1">
      <alignment horizontal="center" vertical="center"/>
    </xf>
    <xf numFmtId="0" fontId="198" fillId="0" borderId="0" xfId="0" applyFont="1" applyBorder="1" applyAlignment="1">
      <alignment horizontal="center" vertical="center"/>
    </xf>
    <xf numFmtId="0" fontId="198" fillId="0" borderId="0" xfId="0" applyFont="1" applyBorder="1" applyAlignment="1">
      <alignment horizontal="center"/>
    </xf>
    <xf numFmtId="0" fontId="200" fillId="26" borderId="5" xfId="0" applyFont="1" applyFill="1" applyBorder="1" applyAlignment="1">
      <alignment horizontal="left"/>
    </xf>
    <xf numFmtId="0" fontId="200" fillId="26" borderId="0" xfId="0" applyFont="1" applyFill="1" applyBorder="1" applyAlignment="1">
      <alignment horizontal="left"/>
    </xf>
    <xf numFmtId="0" fontId="200" fillId="26" borderId="5" xfId="0" applyFont="1" applyFill="1" applyBorder="1" applyAlignment="1">
      <alignment horizontal="center"/>
    </xf>
    <xf numFmtId="0" fontId="200" fillId="26" borderId="0" xfId="0" applyFont="1" applyFill="1" applyBorder="1" applyAlignment="1">
      <alignment horizontal="center"/>
    </xf>
    <xf numFmtId="0" fontId="202" fillId="20" borderId="0" xfId="0" applyFont="1" applyFill="1" applyBorder="1" applyAlignment="1">
      <alignment horizontal="left"/>
    </xf>
    <xf numFmtId="0" fontId="201" fillId="26" borderId="0" xfId="0" applyFont="1" applyFill="1" applyAlignment="1">
      <alignment horizontal="left"/>
    </xf>
    <xf numFmtId="0" fontId="6" fillId="0" borderId="0" xfId="0" applyFont="1" applyBorder="1" applyAlignment="1">
      <alignment horizontal="center"/>
    </xf>
    <xf numFmtId="43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6" fillId="0" borderId="210" xfId="0" applyFont="1" applyBorder="1" applyAlignment="1">
      <alignment horizontal="center"/>
    </xf>
    <xf numFmtId="0" fontId="13" fillId="0" borderId="0" xfId="0" applyFont="1" applyAlignment="1">
      <alignment horizontal="left"/>
    </xf>
    <xf numFmtId="43" fontId="50" fillId="0" borderId="0" xfId="0" applyNumberFormat="1" applyFont="1" applyAlignment="1">
      <alignment horizontal="center"/>
    </xf>
    <xf numFmtId="0" fontId="0" fillId="0" borderId="210" xfId="0" applyBorder="1" applyAlignment="1">
      <alignment horizontal="center"/>
    </xf>
    <xf numFmtId="43" fontId="169" fillId="0" borderId="5" xfId="1" applyNumberFormat="1" applyFont="1" applyBorder="1" applyAlignment="1">
      <alignment horizontal="center"/>
    </xf>
    <xf numFmtId="43" fontId="169" fillId="0" borderId="0" xfId="1" applyNumberFormat="1" applyFont="1" applyBorder="1" applyAlignment="1">
      <alignment horizontal="center"/>
    </xf>
    <xf numFmtId="0" fontId="138" fillId="0" borderId="0" xfId="0" applyFont="1" applyAlignment="1">
      <alignment horizontal="center"/>
    </xf>
    <xf numFmtId="43" fontId="164" fillId="0" borderId="5" xfId="1" applyNumberFormat="1" applyFont="1" applyBorder="1" applyAlignment="1">
      <alignment horizontal="center"/>
    </xf>
    <xf numFmtId="43" fontId="164" fillId="0" borderId="0" xfId="1" applyNumberFormat="1" applyFont="1" applyBorder="1" applyAlignment="1">
      <alignment horizontal="center"/>
    </xf>
    <xf numFmtId="0" fontId="154" fillId="0" borderId="7" xfId="0" applyFont="1" applyBorder="1" applyAlignment="1">
      <alignment horizontal="center"/>
    </xf>
    <xf numFmtId="0" fontId="154" fillId="0" borderId="8" xfId="0" applyFont="1" applyBorder="1" applyAlignment="1">
      <alignment horizontal="center"/>
    </xf>
    <xf numFmtId="0" fontId="154" fillId="0" borderId="5" xfId="0" applyFont="1" applyBorder="1" applyAlignment="1">
      <alignment horizontal="center"/>
    </xf>
    <xf numFmtId="0" fontId="154" fillId="0" borderId="0" xfId="0" applyFont="1" applyBorder="1" applyAlignment="1">
      <alignment horizontal="center"/>
    </xf>
    <xf numFmtId="0" fontId="163" fillId="0" borderId="187" xfId="0" applyFont="1" applyBorder="1" applyAlignment="1">
      <alignment horizontal="center" vertical="center"/>
    </xf>
    <xf numFmtId="43" fontId="3" fillId="2" borderId="0" xfId="0" applyNumberFormat="1" applyFont="1" applyFill="1" applyAlignment="1">
      <alignment horizontal="center"/>
    </xf>
    <xf numFmtId="43" fontId="14" fillId="2" borderId="0" xfId="0" applyNumberFormat="1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8" fillId="0" borderId="12" xfId="0" applyFont="1" applyBorder="1" applyAlignment="1">
      <alignment horizontal="center"/>
    </xf>
    <xf numFmtId="0" fontId="138" fillId="0" borderId="15" xfId="0" applyFont="1" applyBorder="1" applyAlignment="1">
      <alignment horizontal="center"/>
    </xf>
    <xf numFmtId="0" fontId="138" fillId="0" borderId="13" xfId="0" applyFont="1" applyBorder="1" applyAlignment="1">
      <alignment horizontal="center"/>
    </xf>
    <xf numFmtId="43" fontId="138" fillId="2" borderId="0" xfId="0" applyNumberFormat="1" applyFont="1" applyFill="1" applyAlignment="1">
      <alignment horizontal="center"/>
    </xf>
    <xf numFmtId="0" fontId="155" fillId="0" borderId="5" xfId="0" applyFont="1" applyBorder="1" applyAlignment="1">
      <alignment horizontal="center"/>
    </xf>
    <xf numFmtId="0" fontId="155" fillId="0" borderId="0" xfId="0" applyFont="1" applyAlignment="1">
      <alignment horizontal="center"/>
    </xf>
    <xf numFmtId="43" fontId="3" fillId="2" borderId="0" xfId="0" applyNumberFormat="1" applyFont="1" applyFill="1" applyBorder="1" applyAlignment="1">
      <alignment horizontal="center"/>
    </xf>
    <xf numFmtId="0" fontId="135" fillId="0" borderId="210" xfId="0" applyFont="1" applyBorder="1" applyAlignment="1">
      <alignment horizontal="center"/>
    </xf>
    <xf numFmtId="49" fontId="150" fillId="0" borderId="0" xfId="0" applyNumberFormat="1" applyFont="1" applyBorder="1" applyAlignment="1">
      <alignment horizontal="center"/>
    </xf>
    <xf numFmtId="0" fontId="164" fillId="0" borderId="6" xfId="0" applyFont="1" applyBorder="1" applyAlignment="1">
      <alignment horizontal="center"/>
    </xf>
    <xf numFmtId="0" fontId="164" fillId="0" borderId="11" xfId="0" applyFont="1" applyBorder="1" applyAlignment="1">
      <alignment horizontal="center"/>
    </xf>
    <xf numFmtId="0" fontId="155" fillId="0" borderId="0" xfId="0" applyFont="1" applyBorder="1" applyAlignment="1">
      <alignment horizontal="center"/>
    </xf>
    <xf numFmtId="0" fontId="141" fillId="0" borderId="11" xfId="0" applyFont="1" applyBorder="1" applyAlignment="1">
      <alignment horizontal="center"/>
    </xf>
    <xf numFmtId="0" fontId="141" fillId="0" borderId="5" xfId="0" applyFont="1" applyBorder="1" applyAlignment="1">
      <alignment horizontal="center"/>
    </xf>
    <xf numFmtId="0" fontId="138" fillId="0" borderId="54" xfId="0" applyFont="1" applyBorder="1" applyAlignment="1">
      <alignment horizontal="center"/>
    </xf>
    <xf numFmtId="0" fontId="138" fillId="0" borderId="51" xfId="0" applyFont="1" applyBorder="1" applyAlignment="1">
      <alignment horizontal="center"/>
    </xf>
    <xf numFmtId="0" fontId="158" fillId="0" borderId="220" xfId="0" applyFont="1" applyBorder="1" applyAlignment="1">
      <alignment horizontal="center"/>
    </xf>
    <xf numFmtId="0" fontId="158" fillId="0" borderId="44" xfId="0" applyFont="1" applyBorder="1" applyAlignment="1">
      <alignment horizontal="center"/>
    </xf>
    <xf numFmtId="0" fontId="155" fillId="0" borderId="187" xfId="0" applyFont="1" applyBorder="1" applyAlignment="1">
      <alignment horizontal="center"/>
    </xf>
    <xf numFmtId="164" fontId="151" fillId="7" borderId="63" xfId="1" applyFont="1" applyFill="1" applyBorder="1" applyAlignment="1">
      <alignment horizontal="center"/>
    </xf>
    <xf numFmtId="164" fontId="151" fillId="7" borderId="62" xfId="1" applyFont="1" applyFill="1" applyBorder="1" applyAlignment="1">
      <alignment horizontal="center"/>
    </xf>
    <xf numFmtId="164" fontId="151" fillId="3" borderId="65" xfId="1" applyFont="1" applyFill="1" applyBorder="1" applyAlignment="1">
      <alignment horizontal="center"/>
    </xf>
    <xf numFmtId="164" fontId="151" fillId="3" borderId="64" xfId="1" applyFont="1" applyFill="1" applyBorder="1" applyAlignment="1">
      <alignment horizontal="center"/>
    </xf>
    <xf numFmtId="0" fontId="62" fillId="37" borderId="0" xfId="0" applyFont="1" applyFill="1" applyBorder="1" applyAlignment="1">
      <alignment horizontal="center" vertical="center"/>
    </xf>
    <xf numFmtId="0" fontId="114" fillId="37" borderId="0" xfId="0" applyFont="1" applyFill="1" applyAlignment="1">
      <alignment horizontal="center" vertical="center"/>
    </xf>
    <xf numFmtId="0" fontId="161" fillId="0" borderId="0" xfId="0" applyFont="1" applyBorder="1" applyAlignment="1">
      <alignment horizontal="center"/>
    </xf>
    <xf numFmtId="0" fontId="138" fillId="0" borderId="0" xfId="0" applyFont="1" applyAlignment="1">
      <alignment horizontal="left"/>
    </xf>
    <xf numFmtId="43" fontId="30" fillId="0" borderId="0" xfId="0" applyNumberFormat="1" applyFont="1" applyBorder="1" applyAlignment="1">
      <alignment horizontal="center"/>
    </xf>
    <xf numFmtId="0" fontId="141" fillId="0" borderId="43" xfId="0" applyFont="1" applyBorder="1" applyAlignment="1">
      <alignment horizontal="center" vertical="center"/>
    </xf>
    <xf numFmtId="0" fontId="141" fillId="0" borderId="0" xfId="0" applyFont="1" applyBorder="1" applyAlignment="1">
      <alignment horizontal="center" vertical="center"/>
    </xf>
    <xf numFmtId="43" fontId="155" fillId="0" borderId="0" xfId="0" applyNumberFormat="1" applyFont="1" applyAlignment="1">
      <alignment horizontal="center"/>
    </xf>
    <xf numFmtId="0" fontId="0" fillId="0" borderId="257" xfId="0" applyBorder="1" applyAlignment="1">
      <alignment horizontal="center"/>
    </xf>
    <xf numFmtId="0" fontId="2" fillId="0" borderId="25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58" xfId="0" applyFont="1" applyBorder="1" applyAlignment="1">
      <alignment horizontal="center" vertical="center"/>
    </xf>
    <xf numFmtId="0" fontId="2" fillId="0" borderId="262" xfId="0" applyFont="1" applyBorder="1" applyAlignment="1">
      <alignment horizontal="center" vertical="center"/>
    </xf>
    <xf numFmtId="0" fontId="0" fillId="0" borderId="518" xfId="0" applyBorder="1" applyAlignment="1">
      <alignment horizontal="center" vertical="center"/>
    </xf>
    <xf numFmtId="0" fontId="0" fillId="0" borderId="259" xfId="0" applyBorder="1" applyAlignment="1">
      <alignment horizontal="center" vertical="center"/>
    </xf>
    <xf numFmtId="0" fontId="0" fillId="0" borderId="25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68" fillId="37" borderId="0" xfId="0" applyNumberFormat="1" applyFont="1" applyFill="1" applyBorder="1" applyAlignment="1">
      <alignment horizontal="center" vertical="center"/>
    </xf>
    <xf numFmtId="0" fontId="0" fillId="0" borderId="147" xfId="0" applyBorder="1" applyAlignment="1">
      <alignment horizontal="center" vertical="center" wrapText="1"/>
    </xf>
    <xf numFmtId="0" fontId="0" fillId="0" borderId="144" xfId="0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/>
    </xf>
    <xf numFmtId="0" fontId="29" fillId="0" borderId="139" xfId="0" applyFont="1" applyBorder="1" applyAlignment="1">
      <alignment horizontal="center"/>
    </xf>
    <xf numFmtId="0" fontId="29" fillId="0" borderId="138" xfId="0" applyFont="1" applyBorder="1" applyAlignment="1">
      <alignment horizontal="center"/>
    </xf>
    <xf numFmtId="164" fontId="29" fillId="0" borderId="105" xfId="1" applyFont="1" applyFill="1" applyBorder="1" applyAlignment="1">
      <alignment horizontal="center"/>
    </xf>
    <xf numFmtId="164" fontId="29" fillId="0" borderId="137" xfId="1" applyFont="1" applyFill="1" applyBorder="1" applyAlignment="1">
      <alignment horizontal="center"/>
    </xf>
    <xf numFmtId="0" fontId="0" fillId="0" borderId="146" xfId="0" applyBorder="1" applyAlignment="1">
      <alignment horizontal="center" vertical="center" wrapText="1"/>
    </xf>
    <xf numFmtId="0" fontId="0" fillId="0" borderId="143" xfId="0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0" fillId="0" borderId="148" xfId="0" applyBorder="1" applyAlignment="1">
      <alignment horizontal="center" vertical="center"/>
    </xf>
    <xf numFmtId="0" fontId="0" fillId="0" borderId="145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4" xfId="0" applyBorder="1" applyAlignment="1">
      <alignment horizontal="center" vertical="center"/>
    </xf>
    <xf numFmtId="0" fontId="10" fillId="0" borderId="319" xfId="0" applyFont="1" applyBorder="1" applyAlignment="1">
      <alignment horizontal="center"/>
    </xf>
    <xf numFmtId="0" fontId="10" fillId="0" borderId="18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75" fillId="0" borderId="12" xfId="0" applyFont="1" applyBorder="1" applyAlignment="1">
      <alignment horizontal="center" vertical="center"/>
    </xf>
    <xf numFmtId="0" fontId="275" fillId="0" borderId="15" xfId="0" applyFont="1" applyBorder="1" applyAlignment="1">
      <alignment horizontal="center" vertical="center"/>
    </xf>
    <xf numFmtId="0" fontId="275" fillId="0" borderId="13" xfId="0" applyFont="1" applyBorder="1" applyAlignment="1">
      <alignment horizontal="center" vertical="center"/>
    </xf>
    <xf numFmtId="0" fontId="273" fillId="0" borderId="0" xfId="0" applyFont="1" applyBorder="1" applyAlignment="1">
      <alignment horizontal="center" vertical="center"/>
    </xf>
    <xf numFmtId="0" fontId="268" fillId="0" borderId="111" xfId="0" applyFont="1" applyBorder="1" applyAlignment="1">
      <alignment horizontal="center" vertical="center"/>
    </xf>
    <xf numFmtId="0" fontId="268" fillId="0" borderId="110" xfId="0" applyFont="1" applyBorder="1" applyAlignment="1">
      <alignment horizontal="center" vertical="center"/>
    </xf>
    <xf numFmtId="0" fontId="268" fillId="0" borderId="109" xfId="0" applyFont="1" applyBorder="1" applyAlignment="1">
      <alignment horizontal="center" vertical="center"/>
    </xf>
    <xf numFmtId="0" fontId="268" fillId="0" borderId="118" xfId="0" applyFont="1" applyBorder="1" applyAlignment="1">
      <alignment horizontal="center" vertical="center"/>
    </xf>
    <xf numFmtId="0" fontId="268" fillId="0" borderId="38" xfId="0" applyFont="1" applyBorder="1" applyAlignment="1">
      <alignment horizontal="center" vertical="center"/>
    </xf>
    <xf numFmtId="0" fontId="268" fillId="0" borderId="117" xfId="0" applyFont="1" applyBorder="1" applyAlignment="1">
      <alignment horizontal="center" vertical="center"/>
    </xf>
    <xf numFmtId="0" fontId="269" fillId="0" borderId="111" xfId="0" applyFont="1" applyBorder="1" applyAlignment="1">
      <alignment horizontal="center" vertical="center"/>
    </xf>
    <xf numFmtId="0" fontId="269" fillId="0" borderId="110" xfId="0" applyFont="1" applyBorder="1" applyAlignment="1">
      <alignment horizontal="center" vertical="center"/>
    </xf>
    <xf numFmtId="0" fontId="269" fillId="0" borderId="109" xfId="0" applyFont="1" applyBorder="1" applyAlignment="1">
      <alignment horizontal="center" vertical="center"/>
    </xf>
    <xf numFmtId="0" fontId="269" fillId="0" borderId="108" xfId="0" applyFont="1" applyBorder="1" applyAlignment="1">
      <alignment horizontal="center" vertical="center"/>
    </xf>
    <xf numFmtId="0" fontId="269" fillId="0" borderId="0" xfId="0" applyFont="1" applyBorder="1" applyAlignment="1">
      <alignment horizontal="center" vertical="center"/>
    </xf>
    <xf numFmtId="0" fontId="269" fillId="0" borderId="107" xfId="0" applyFont="1" applyBorder="1" applyAlignment="1">
      <alignment horizontal="center" vertical="center"/>
    </xf>
    <xf numFmtId="0" fontId="267" fillId="0" borderId="51" xfId="0" applyFont="1" applyFill="1" applyBorder="1" applyAlignment="1">
      <alignment horizontal="center"/>
    </xf>
    <xf numFmtId="0" fontId="267" fillId="0" borderId="21" xfId="0" applyFont="1" applyBorder="1" applyAlignment="1">
      <alignment horizontal="center"/>
    </xf>
    <xf numFmtId="0" fontId="267" fillId="0" borderId="0" xfId="0" applyFont="1" applyFill="1" applyAlignment="1">
      <alignment horizontal="center"/>
    </xf>
    <xf numFmtId="0" fontId="274" fillId="37" borderId="0" xfId="0" applyFont="1" applyFill="1" applyAlignment="1">
      <alignment horizontal="center" vertical="center"/>
    </xf>
    <xf numFmtId="0" fontId="272" fillId="37" borderId="0" xfId="0" applyFont="1" applyFill="1" applyAlignment="1">
      <alignment horizontal="center" vertical="center"/>
    </xf>
    <xf numFmtId="0" fontId="269" fillId="0" borderId="54" xfId="0" applyFont="1" applyBorder="1" applyAlignment="1">
      <alignment horizontal="center" vertical="center"/>
    </xf>
    <xf numFmtId="0" fontId="269" fillId="0" borderId="51" xfId="0" applyFont="1" applyBorder="1" applyAlignment="1">
      <alignment horizontal="center" vertical="center"/>
    </xf>
    <xf numFmtId="0" fontId="269" fillId="0" borderId="52" xfId="0" applyFont="1" applyBorder="1" applyAlignment="1">
      <alignment horizontal="center" vertical="center"/>
    </xf>
    <xf numFmtId="0" fontId="269" fillId="0" borderId="46" xfId="0" applyFont="1" applyBorder="1" applyAlignment="1">
      <alignment horizontal="center" vertical="center"/>
    </xf>
    <xf numFmtId="0" fontId="269" fillId="0" borderId="38" xfId="0" applyFont="1" applyBorder="1" applyAlignment="1">
      <alignment horizontal="center" vertical="center"/>
    </xf>
    <xf numFmtId="0" fontId="269" fillId="0" borderId="45" xfId="0" applyFont="1" applyBorder="1" applyAlignment="1">
      <alignment horizontal="center" vertical="center"/>
    </xf>
    <xf numFmtId="0" fontId="269" fillId="0" borderId="2" xfId="0" applyFont="1" applyBorder="1" applyAlignment="1">
      <alignment horizontal="center" vertical="center"/>
    </xf>
    <xf numFmtId="0" fontId="269" fillId="0" borderId="3" xfId="0" applyFont="1" applyBorder="1" applyAlignment="1">
      <alignment horizontal="center" vertical="center"/>
    </xf>
    <xf numFmtId="0" fontId="269" fillId="0" borderId="4" xfId="0" applyFont="1" applyBorder="1" applyAlignment="1">
      <alignment horizontal="center" vertical="center"/>
    </xf>
    <xf numFmtId="0" fontId="269" fillId="0" borderId="7" xfId="0" applyFont="1" applyBorder="1" applyAlignment="1">
      <alignment horizontal="center" vertical="center"/>
    </xf>
    <xf numFmtId="0" fontId="269" fillId="0" borderId="8" xfId="0" applyFont="1" applyBorder="1" applyAlignment="1">
      <alignment horizontal="center" vertical="center"/>
    </xf>
    <xf numFmtId="0" fontId="269" fillId="0" borderId="9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3" fillId="0" borderId="12" xfId="0" applyFont="1" applyBorder="1" applyAlignment="1">
      <alignment horizontal="center" vertical="center"/>
    </xf>
    <xf numFmtId="0" fontId="223" fillId="0" borderId="15" xfId="0" applyFont="1" applyBorder="1" applyAlignment="1">
      <alignment horizontal="center" vertical="center"/>
    </xf>
    <xf numFmtId="0" fontId="228" fillId="0" borderId="2" xfId="0" applyFont="1" applyBorder="1" applyAlignment="1">
      <alignment horizontal="center" vertical="center" wrapText="1"/>
    </xf>
    <xf numFmtId="0" fontId="228" fillId="0" borderId="3" xfId="0" applyFont="1" applyBorder="1" applyAlignment="1">
      <alignment horizontal="center" vertical="center" wrapText="1"/>
    </xf>
    <xf numFmtId="0" fontId="228" fillId="0" borderId="4" xfId="0" applyFont="1" applyBorder="1" applyAlignment="1">
      <alignment horizontal="center" vertical="center" wrapText="1"/>
    </xf>
    <xf numFmtId="0" fontId="223" fillId="0" borderId="0" xfId="0" applyFont="1" applyBorder="1" applyAlignment="1">
      <alignment horizontal="center"/>
    </xf>
    <xf numFmtId="0" fontId="223" fillId="0" borderId="53" xfId="0" applyFont="1" applyBorder="1" applyAlignment="1">
      <alignment horizontal="center"/>
    </xf>
    <xf numFmtId="0" fontId="223" fillId="0" borderId="13" xfId="0" applyFont="1" applyBorder="1" applyAlignment="1">
      <alignment horizontal="center" vertical="center"/>
    </xf>
    <xf numFmtId="0" fontId="226" fillId="0" borderId="5" xfId="0" applyFont="1" applyBorder="1" applyAlignment="1">
      <alignment horizontal="center"/>
    </xf>
    <xf numFmtId="0" fontId="226" fillId="0" borderId="0" xfId="0" applyFont="1" applyBorder="1" applyAlignment="1">
      <alignment horizontal="center"/>
    </xf>
    <xf numFmtId="0" fontId="224" fillId="0" borderId="0" xfId="0" applyFont="1" applyAlignment="1">
      <alignment horizontal="center"/>
    </xf>
    <xf numFmtId="0" fontId="224" fillId="0" borderId="7" xfId="0" applyFont="1" applyBorder="1" applyAlignment="1">
      <alignment horizontal="center" vertical="center"/>
    </xf>
    <xf numFmtId="0" fontId="224" fillId="0" borderId="8" xfId="0" applyFont="1" applyBorder="1" applyAlignment="1">
      <alignment horizontal="center" vertical="center"/>
    </xf>
    <xf numFmtId="0" fontId="222" fillId="0" borderId="0" xfId="0" applyFont="1" applyFill="1" applyBorder="1" applyAlignment="1">
      <alignment horizontal="center"/>
    </xf>
    <xf numFmtId="0" fontId="234" fillId="0" borderId="0" xfId="0" applyFont="1" applyBorder="1" applyAlignment="1">
      <alignment horizontal="center"/>
    </xf>
    <xf numFmtId="0" fontId="227" fillId="0" borderId="7" xfId="0" applyFont="1" applyBorder="1" applyAlignment="1">
      <alignment horizontal="center"/>
    </xf>
    <xf numFmtId="0" fontId="227" fillId="0" borderId="8" xfId="0" applyFont="1" applyBorder="1" applyAlignment="1">
      <alignment horizontal="center"/>
    </xf>
    <xf numFmtId="0" fontId="223" fillId="0" borderId="38" xfId="0" applyFont="1" applyBorder="1" applyAlignment="1">
      <alignment horizontal="center"/>
    </xf>
    <xf numFmtId="0" fontId="235" fillId="0" borderId="12" xfId="0" applyFont="1" applyBorder="1" applyAlignment="1">
      <alignment horizontal="center"/>
    </xf>
    <xf numFmtId="0" fontId="235" fillId="0" borderId="15" xfId="0" applyFont="1" applyBorder="1" applyAlignment="1">
      <alignment horizontal="center"/>
    </xf>
    <xf numFmtId="0" fontId="235" fillId="0" borderId="13" xfId="0" applyFont="1" applyBorder="1" applyAlignment="1">
      <alignment horizontal="center"/>
    </xf>
    <xf numFmtId="0" fontId="222" fillId="0" borderId="12" xfId="0" applyFont="1" applyBorder="1" applyAlignment="1">
      <alignment horizontal="center"/>
    </xf>
    <xf numFmtId="0" fontId="222" fillId="0" borderId="13" xfId="0" applyFont="1" applyBorder="1" applyAlignment="1">
      <alignment horizontal="center"/>
    </xf>
    <xf numFmtId="170" fontId="223" fillId="0" borderId="12" xfId="0" applyNumberFormat="1" applyFont="1" applyBorder="1" applyAlignment="1">
      <alignment horizontal="center" vertical="center" wrapText="1"/>
    </xf>
    <xf numFmtId="170" fontId="223" fillId="0" borderId="13" xfId="0" applyNumberFormat="1" applyFont="1" applyBorder="1" applyAlignment="1">
      <alignment horizontal="center" vertical="center" wrapText="1"/>
    </xf>
    <xf numFmtId="0" fontId="223" fillId="0" borderId="5" xfId="0" applyFont="1" applyBorder="1" applyAlignment="1">
      <alignment horizontal="center" vertical="center" wrapText="1"/>
    </xf>
    <xf numFmtId="0" fontId="223" fillId="0" borderId="0" xfId="0" applyFont="1" applyBorder="1" applyAlignment="1">
      <alignment horizontal="center" vertical="center" wrapText="1"/>
    </xf>
    <xf numFmtId="0" fontId="235" fillId="0" borderId="5" xfId="0" applyFont="1" applyBorder="1" applyAlignment="1">
      <alignment horizontal="center" vertical="center" wrapText="1"/>
    </xf>
    <xf numFmtId="0" fontId="235" fillId="0" borderId="0" xfId="0" applyFont="1" applyBorder="1" applyAlignment="1">
      <alignment horizontal="center" vertical="center" wrapText="1"/>
    </xf>
    <xf numFmtId="0" fontId="235" fillId="0" borderId="6" xfId="0" applyFont="1" applyBorder="1" applyAlignment="1">
      <alignment horizontal="center" vertical="center" wrapText="1"/>
    </xf>
    <xf numFmtId="0" fontId="222" fillId="0" borderId="15" xfId="0" applyFont="1" applyBorder="1" applyAlignment="1">
      <alignment horizontal="center"/>
    </xf>
    <xf numFmtId="174" fontId="237" fillId="0" borderId="5" xfId="0" applyNumberFormat="1" applyFont="1" applyBorder="1" applyAlignment="1">
      <alignment horizontal="center" vertical="center"/>
    </xf>
    <xf numFmtId="174" fontId="237" fillId="0" borderId="0" xfId="0" applyNumberFormat="1" applyFont="1" applyBorder="1" applyAlignment="1">
      <alignment horizontal="center" vertical="center"/>
    </xf>
    <xf numFmtId="174" fontId="237" fillId="0" borderId="6" xfId="0" applyNumberFormat="1" applyFont="1" applyBorder="1" applyAlignment="1">
      <alignment horizontal="center" vertical="center"/>
    </xf>
    <xf numFmtId="0" fontId="0" fillId="0" borderId="53" xfId="0" applyBorder="1" applyAlignment="1">
      <alignment horizontal="left"/>
    </xf>
    <xf numFmtId="0" fontId="0" fillId="0" borderId="0" xfId="0" applyBorder="1" applyAlignment="1">
      <alignment horizontal="left"/>
    </xf>
    <xf numFmtId="168" fontId="0" fillId="9" borderId="122" xfId="0" applyNumberForma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5" fillId="0" borderId="11" xfId="0" applyFont="1" applyFill="1" applyBorder="1" applyAlignment="1">
      <alignment horizontal="center"/>
    </xf>
    <xf numFmtId="0" fontId="43" fillId="0" borderId="16" xfId="0" applyFont="1" applyFill="1" applyBorder="1" applyAlignment="1">
      <alignment horizontal="center" vertical="center"/>
    </xf>
    <xf numFmtId="0" fontId="44" fillId="0" borderId="14" xfId="0" applyFont="1" applyBorder="1" applyAlignment="1">
      <alignment horizontal="center"/>
    </xf>
    <xf numFmtId="0" fontId="44" fillId="0" borderId="208" xfId="0" applyFont="1" applyBorder="1" applyAlignment="1">
      <alignment horizontal="center"/>
    </xf>
    <xf numFmtId="0" fontId="5" fillId="0" borderId="20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208" xfId="0" applyFont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3" fillId="0" borderId="0" xfId="0" applyFont="1" applyBorder="1" applyAlignment="1">
      <alignment horizontal="center"/>
    </xf>
    <xf numFmtId="166" fontId="0" fillId="9" borderId="0" xfId="0" applyNumberFormat="1" applyFill="1" applyBorder="1" applyAlignment="1">
      <alignment horizontal="center"/>
    </xf>
    <xf numFmtId="166" fontId="0" fillId="9" borderId="6" xfId="0" applyNumberForma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8" xfId="0" applyFont="1" applyBorder="1" applyAlignment="1">
      <alignment horizontal="center" vertical="center"/>
    </xf>
    <xf numFmtId="173" fontId="1" fillId="0" borderId="12" xfId="0" applyNumberFormat="1" applyFont="1" applyBorder="1" applyAlignment="1">
      <alignment horizontal="center" vertical="center" wrapText="1"/>
    </xf>
    <xf numFmtId="173" fontId="1" fillId="0" borderId="15" xfId="0" applyNumberFormat="1" applyFont="1" applyBorder="1" applyAlignment="1">
      <alignment horizontal="center" vertical="center" wrapText="1"/>
    </xf>
    <xf numFmtId="173" fontId="1" fillId="0" borderId="13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8" fillId="37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4" fillId="0" borderId="2" xfId="0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0" fillId="0" borderId="163" xfId="0" applyFont="1" applyBorder="1" applyAlignment="1">
      <alignment horizontal="center" vertical="center"/>
    </xf>
    <xf numFmtId="0" fontId="20" fillId="0" borderId="58" xfId="0" applyFont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44" fillId="0" borderId="12" xfId="0" applyFont="1" applyBorder="1" applyAlignment="1">
      <alignment horizontal="center"/>
    </xf>
    <xf numFmtId="0" fontId="44" fillId="0" borderId="1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29" xfId="0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0" fontId="44" fillId="0" borderId="2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4" fillId="0" borderId="263" xfId="0" applyFont="1" applyBorder="1" applyAlignment="1">
      <alignment horizontal="center" vertical="center"/>
    </xf>
    <xf numFmtId="0" fontId="44" fillId="0" borderId="26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25" xfId="0" applyFont="1" applyFill="1" applyBorder="1" applyAlignment="1">
      <alignment horizontal="left"/>
    </xf>
    <xf numFmtId="0" fontId="1" fillId="0" borderId="34" xfId="0" applyFont="1" applyFill="1" applyBorder="1" applyAlignment="1">
      <alignment horizontal="left"/>
    </xf>
    <xf numFmtId="0" fontId="20" fillId="0" borderId="129" xfId="0" applyFont="1" applyFill="1" applyBorder="1" applyAlignment="1">
      <alignment horizontal="center"/>
    </xf>
    <xf numFmtId="0" fontId="20" fillId="0" borderId="128" xfId="0" applyFont="1" applyFill="1" applyBorder="1" applyAlignment="1">
      <alignment horizontal="center"/>
    </xf>
    <xf numFmtId="0" fontId="1" fillId="0" borderId="160" xfId="0" applyFont="1" applyFill="1" applyBorder="1" applyAlignment="1">
      <alignment horizontal="center"/>
    </xf>
    <xf numFmtId="0" fontId="16" fillId="22" borderId="3" xfId="0" applyFont="1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3" xfId="0" applyBorder="1" applyAlignment="1">
      <alignment horizontal="left"/>
    </xf>
    <xf numFmtId="43" fontId="0" fillId="0" borderId="127" xfId="0" applyNumberFormat="1" applyFill="1" applyBorder="1" applyAlignment="1">
      <alignment horizontal="center"/>
    </xf>
    <xf numFmtId="43" fontId="0" fillId="0" borderId="166" xfId="0" applyNumberForma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49" fontId="61" fillId="19" borderId="0" xfId="0" applyNumberFormat="1" applyFont="1" applyFill="1" applyBorder="1" applyAlignment="1">
      <alignment horizontal="center" vertical="center"/>
    </xf>
    <xf numFmtId="49" fontId="61" fillId="19" borderId="38" xfId="0" applyNumberFormat="1" applyFont="1" applyFill="1" applyBorder="1" applyAlignment="1">
      <alignment horizontal="center" vertical="center"/>
    </xf>
    <xf numFmtId="0" fontId="62" fillId="16" borderId="51" xfId="0" applyFont="1" applyFill="1" applyBorder="1" applyAlignment="1">
      <alignment horizontal="center" vertical="center"/>
    </xf>
    <xf numFmtId="0" fontId="62" fillId="16" borderId="0" xfId="0" applyFont="1" applyFill="1" applyBorder="1" applyAlignment="1">
      <alignment horizontal="center" vertical="center"/>
    </xf>
    <xf numFmtId="0" fontId="62" fillId="16" borderId="38" xfId="0" applyFont="1" applyFill="1" applyBorder="1" applyAlignment="1">
      <alignment horizontal="center" vertical="center"/>
    </xf>
    <xf numFmtId="0" fontId="60" fillId="19" borderId="51" xfId="0" applyFont="1" applyFill="1" applyBorder="1" applyAlignment="1">
      <alignment horizontal="center" vertical="center"/>
    </xf>
    <xf numFmtId="0" fontId="60" fillId="19" borderId="0" xfId="0" applyFont="1" applyFill="1" applyBorder="1" applyAlignment="1">
      <alignment horizontal="center" vertical="center"/>
    </xf>
    <xf numFmtId="49" fontId="61" fillId="16" borderId="51" xfId="0" applyNumberFormat="1" applyFont="1" applyFill="1" applyBorder="1" applyAlignment="1">
      <alignment vertical="center"/>
    </xf>
    <xf numFmtId="49" fontId="61" fillId="16" borderId="0" xfId="0" applyNumberFormat="1" applyFont="1" applyFill="1" applyBorder="1" applyAlignment="1">
      <alignment vertical="center"/>
    </xf>
    <xf numFmtId="1" fontId="64" fillId="16" borderId="51" xfId="0" applyNumberFormat="1" applyFont="1" applyFill="1" applyBorder="1" applyAlignment="1">
      <alignment horizontal="center" vertical="center"/>
    </xf>
    <xf numFmtId="1" fontId="64" fillId="16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19" borderId="10" xfId="0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11" borderId="3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16" borderId="1" xfId="0" applyNumberForma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15" borderId="1" xfId="0" applyNumberFormat="1" applyFill="1" applyBorder="1" applyAlignment="1">
      <alignment horizontal="center" vertical="center" wrapText="1"/>
    </xf>
    <xf numFmtId="49" fontId="0" fillId="15" borderId="1" xfId="0" applyNumberFormat="1" applyFill="1" applyBorder="1" applyAlignment="1">
      <alignment horizontal="center" vertical="center"/>
    </xf>
    <xf numFmtId="49" fontId="0" fillId="14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16" borderId="12" xfId="0" applyNumberFormat="1" applyFill="1" applyBorder="1" applyAlignment="1">
      <alignment horizontal="center" vertical="center"/>
    </xf>
    <xf numFmtId="0" fontId="217" fillId="0" borderId="0" xfId="0" applyFont="1" applyBorder="1" applyAlignment="1">
      <alignment horizontal="left"/>
    </xf>
    <xf numFmtId="43" fontId="218" fillId="0" borderId="12" xfId="0" applyNumberFormat="1" applyFont="1" applyBorder="1" applyAlignment="1">
      <alignment horizontal="right"/>
    </xf>
    <xf numFmtId="43" fontId="218" fillId="0" borderId="15" xfId="0" applyNumberFormat="1" applyFont="1" applyBorder="1" applyAlignment="1">
      <alignment horizontal="right"/>
    </xf>
    <xf numFmtId="43" fontId="218" fillId="0" borderId="13" xfId="0" applyNumberFormat="1" applyFont="1" applyBorder="1" applyAlignment="1">
      <alignment horizontal="right"/>
    </xf>
    <xf numFmtId="49" fontId="217" fillId="0" borderId="0" xfId="0" applyNumberFormat="1" applyFont="1" applyBorder="1" applyAlignment="1">
      <alignment horizontal="left"/>
    </xf>
    <xf numFmtId="0" fontId="214" fillId="0" borderId="28" xfId="0" applyFont="1" applyBorder="1" applyAlignment="1">
      <alignment horizontal="center"/>
    </xf>
    <xf numFmtId="0" fontId="214" fillId="0" borderId="29" xfId="0" applyFont="1" applyBorder="1" applyAlignment="1">
      <alignment horizontal="center"/>
    </xf>
    <xf numFmtId="0" fontId="214" fillId="0" borderId="30" xfId="0" applyFont="1" applyBorder="1" applyAlignment="1">
      <alignment horizontal="center"/>
    </xf>
    <xf numFmtId="0" fontId="214" fillId="0" borderId="28" xfId="0" applyFont="1" applyBorder="1" applyAlignment="1">
      <alignment horizontal="left"/>
    </xf>
    <xf numFmtId="0" fontId="214" fillId="0" borderId="29" xfId="0" applyFont="1" applyBorder="1" applyAlignment="1">
      <alignment horizontal="left"/>
    </xf>
    <xf numFmtId="49" fontId="212" fillId="0" borderId="10" xfId="0" applyNumberFormat="1" applyFont="1" applyBorder="1" applyAlignment="1">
      <alignment vertical="center" textRotation="90"/>
    </xf>
    <xf numFmtId="49" fontId="212" fillId="0" borderId="11" xfId="0" applyNumberFormat="1" applyFont="1" applyBorder="1" applyAlignment="1">
      <alignment vertical="center" textRotation="90"/>
    </xf>
    <xf numFmtId="0" fontId="212" fillId="0" borderId="10" xfId="0" applyFont="1" applyBorder="1" applyAlignment="1">
      <alignment horizontal="center" vertical="center" textRotation="90" readingOrder="1"/>
    </xf>
    <xf numFmtId="0" fontId="212" fillId="0" borderId="11" xfId="0" applyFont="1" applyBorder="1" applyAlignment="1">
      <alignment horizontal="center" vertical="center" textRotation="90" readingOrder="1"/>
    </xf>
    <xf numFmtId="0" fontId="212" fillId="0" borderId="21" xfId="0" applyFont="1" applyBorder="1" applyAlignment="1">
      <alignment horizontal="center" vertical="center" textRotation="90" readingOrder="1"/>
    </xf>
    <xf numFmtId="0" fontId="214" fillId="0" borderId="25" xfId="0" applyFont="1" applyBorder="1" applyAlignment="1">
      <alignment horizontal="left"/>
    </xf>
    <xf numFmtId="0" fontId="214" fillId="0" borderId="26" xfId="0" applyFont="1" applyBorder="1" applyAlignment="1">
      <alignment horizontal="left"/>
    </xf>
    <xf numFmtId="0" fontId="214" fillId="0" borderId="27" xfId="0" applyFont="1" applyBorder="1" applyAlignment="1">
      <alignment horizontal="left"/>
    </xf>
    <xf numFmtId="0" fontId="214" fillId="0" borderId="12" xfId="0" applyFont="1" applyBorder="1" applyAlignment="1">
      <alignment horizontal="center"/>
    </xf>
    <xf numFmtId="0" fontId="214" fillId="0" borderId="13" xfId="0" applyFont="1" applyBorder="1" applyAlignment="1">
      <alignment horizontal="center"/>
    </xf>
    <xf numFmtId="0" fontId="214" fillId="0" borderId="15" xfId="0" applyFont="1" applyBorder="1" applyAlignment="1">
      <alignment horizontal="center"/>
    </xf>
    <xf numFmtId="49" fontId="219" fillId="0" borderId="0" xfId="0" applyNumberFormat="1" applyFont="1" applyBorder="1" applyAlignment="1">
      <alignment horizontal="center"/>
    </xf>
    <xf numFmtId="0" fontId="212" fillId="0" borderId="3" xfId="0" applyFont="1" applyBorder="1" applyAlignment="1">
      <alignment horizontal="center"/>
    </xf>
    <xf numFmtId="0" fontId="212" fillId="0" borderId="4" xfId="0" applyFont="1" applyBorder="1" applyAlignment="1">
      <alignment horizontal="center"/>
    </xf>
    <xf numFmtId="0" fontId="213" fillId="0" borderId="31" xfId="0" applyFont="1" applyBorder="1" applyAlignment="1">
      <alignment horizontal="left"/>
    </xf>
    <xf numFmtId="0" fontId="213" fillId="0" borderId="32" xfId="0" applyFont="1" applyBorder="1" applyAlignment="1">
      <alignment horizontal="left"/>
    </xf>
    <xf numFmtId="0" fontId="214" fillId="0" borderId="5" xfId="0" applyFont="1" applyBorder="1" applyAlignment="1">
      <alignment horizontal="center"/>
    </xf>
    <xf numFmtId="0" fontId="214" fillId="0" borderId="0" xfId="0" applyFont="1" applyBorder="1" applyAlignment="1">
      <alignment horizontal="center"/>
    </xf>
    <xf numFmtId="0" fontId="214" fillId="0" borderId="5" xfId="0" applyFont="1" applyBorder="1" applyAlignment="1">
      <alignment horizontal="left"/>
    </xf>
    <xf numFmtId="0" fontId="214" fillId="0" borderId="0" xfId="0" applyFont="1" applyBorder="1" applyAlignment="1">
      <alignment horizontal="left"/>
    </xf>
    <xf numFmtId="43" fontId="218" fillId="0" borderId="12" xfId="0" applyNumberFormat="1" applyFont="1" applyBorder="1" applyAlignment="1">
      <alignment horizontal="right" vertical="center"/>
    </xf>
    <xf numFmtId="43" fontId="218" fillId="0" borderId="15" xfId="0" applyNumberFormat="1" applyFont="1" applyBorder="1" applyAlignment="1">
      <alignment horizontal="right" vertical="center"/>
    </xf>
    <xf numFmtId="43" fontId="218" fillId="0" borderId="13" xfId="0" applyNumberFormat="1" applyFont="1" applyBorder="1" applyAlignment="1">
      <alignment horizontal="right" vertical="center"/>
    </xf>
    <xf numFmtId="43" fontId="218" fillId="0" borderId="12" xfId="0" applyNumberFormat="1" applyFont="1" applyBorder="1" applyAlignment="1">
      <alignment horizontal="center"/>
    </xf>
    <xf numFmtId="43" fontId="218" fillId="0" borderId="15" xfId="0" applyNumberFormat="1" applyFont="1" applyBorder="1" applyAlignment="1">
      <alignment horizontal="center"/>
    </xf>
    <xf numFmtId="43" fontId="218" fillId="0" borderId="13" xfId="0" applyNumberFormat="1" applyFont="1" applyBorder="1" applyAlignment="1">
      <alignment horizontal="center"/>
    </xf>
    <xf numFmtId="43" fontId="218" fillId="19" borderId="12" xfId="0" applyNumberFormat="1" applyFont="1" applyFill="1" applyBorder="1" applyAlignment="1">
      <alignment horizontal="right"/>
    </xf>
    <xf numFmtId="43" fontId="218" fillId="19" borderId="15" xfId="0" applyNumberFormat="1" applyFont="1" applyFill="1" applyBorder="1" applyAlignment="1">
      <alignment horizontal="right"/>
    </xf>
    <xf numFmtId="43" fontId="218" fillId="19" borderId="13" xfId="0" applyNumberFormat="1" applyFont="1" applyFill="1" applyBorder="1" applyAlignment="1">
      <alignment horizontal="right"/>
    </xf>
    <xf numFmtId="43" fontId="218" fillId="18" borderId="12" xfId="0" applyNumberFormat="1" applyFont="1" applyFill="1" applyBorder="1" applyAlignment="1">
      <alignment horizontal="center"/>
    </xf>
    <xf numFmtId="43" fontId="218" fillId="18" borderId="15" xfId="0" applyNumberFormat="1" applyFont="1" applyFill="1" applyBorder="1" applyAlignment="1">
      <alignment horizontal="center"/>
    </xf>
    <xf numFmtId="43" fontId="218" fillId="18" borderId="13" xfId="0" applyNumberFormat="1" applyFont="1" applyFill="1" applyBorder="1" applyAlignment="1">
      <alignment horizontal="center"/>
    </xf>
    <xf numFmtId="49" fontId="221" fillId="0" borderId="11" xfId="0" applyNumberFormat="1" applyFont="1" applyBorder="1" applyAlignment="1">
      <alignment horizontal="center" vertical="center" textRotation="90" readingOrder="1"/>
    </xf>
    <xf numFmtId="49" fontId="221" fillId="0" borderId="21" xfId="0" applyNumberFormat="1" applyFont="1" applyBorder="1" applyAlignment="1">
      <alignment horizontal="center" vertical="center" textRotation="90" readingOrder="1"/>
    </xf>
    <xf numFmtId="49" fontId="214" fillId="0" borderId="11" xfId="0" applyNumberFormat="1" applyFont="1" applyBorder="1" applyAlignment="1">
      <alignment horizontal="center"/>
    </xf>
    <xf numFmtId="49" fontId="214" fillId="0" borderId="21" xfId="0" applyNumberFormat="1" applyFont="1" applyBorder="1" applyAlignment="1">
      <alignment horizontal="center"/>
    </xf>
    <xf numFmtId="49" fontId="212" fillId="0" borderId="10" xfId="0" applyNumberFormat="1" applyFont="1" applyBorder="1" applyAlignment="1">
      <alignment horizontal="center" vertical="center" textRotation="90" readingOrder="1"/>
    </xf>
    <xf numFmtId="49" fontId="212" fillId="0" borderId="11" xfId="0" applyNumberFormat="1" applyFont="1" applyBorder="1" applyAlignment="1">
      <alignment horizontal="center" vertical="center" textRotation="90" readingOrder="1"/>
    </xf>
    <xf numFmtId="49" fontId="212" fillId="0" borderId="21" xfId="0" applyNumberFormat="1" applyFont="1" applyBorder="1" applyAlignment="1">
      <alignment horizontal="center" vertical="center" textRotation="90" readingOrder="1"/>
    </xf>
    <xf numFmtId="49" fontId="214" fillId="0" borderId="11" xfId="0" applyNumberFormat="1" applyFont="1" applyBorder="1" applyAlignment="1">
      <alignment horizontal="center" vertical="center" textRotation="90" readingOrder="1"/>
    </xf>
    <xf numFmtId="49" fontId="214" fillId="0" borderId="21" xfId="0" applyNumberFormat="1" applyFont="1" applyBorder="1" applyAlignment="1">
      <alignment horizontal="center" vertical="center" textRotation="90" readingOrder="1"/>
    </xf>
    <xf numFmtId="49" fontId="221" fillId="0" borderId="10" xfId="0" applyNumberFormat="1" applyFont="1" applyBorder="1" applyAlignment="1">
      <alignment horizontal="center" vertical="center" textRotation="90" readingOrder="1"/>
    </xf>
    <xf numFmtId="49" fontId="219" fillId="0" borderId="12" xfId="0" applyNumberFormat="1" applyFont="1" applyBorder="1" applyAlignment="1">
      <alignment horizontal="center"/>
    </xf>
    <xf numFmtId="49" fontId="219" fillId="0" borderId="13" xfId="0" applyNumberFormat="1" applyFont="1" applyBorder="1" applyAlignment="1">
      <alignment horizontal="center"/>
    </xf>
    <xf numFmtId="49" fontId="219" fillId="0" borderId="15" xfId="0" applyNumberFormat="1" applyFont="1" applyBorder="1" applyAlignment="1">
      <alignment horizontal="center"/>
    </xf>
    <xf numFmtId="0" fontId="41" fillId="0" borderId="0" xfId="0" applyFont="1" applyAlignment="1">
      <alignment horizontal="center"/>
    </xf>
    <xf numFmtId="0" fontId="0" fillId="0" borderId="136" xfId="0" applyBorder="1" applyAlignment="1">
      <alignment horizontal="center"/>
    </xf>
    <xf numFmtId="0" fontId="0" fillId="0" borderId="6" xfId="0" applyBorder="1" applyAlignment="1">
      <alignment horizontal="left"/>
    </xf>
    <xf numFmtId="0" fontId="54" fillId="0" borderId="0" xfId="0" applyFont="1" applyBorder="1" applyAlignment="1">
      <alignment horizontal="left"/>
    </xf>
    <xf numFmtId="0" fontId="55" fillId="0" borderId="2" xfId="0" applyFont="1" applyFill="1" applyBorder="1" applyAlignment="1">
      <alignment horizontal="left"/>
    </xf>
    <xf numFmtId="0" fontId="55" fillId="0" borderId="3" xfId="0" applyFont="1" applyFill="1" applyBorder="1" applyAlignment="1">
      <alignment horizontal="left"/>
    </xf>
    <xf numFmtId="0" fontId="55" fillId="0" borderId="4" xfId="0" applyFont="1" applyFill="1" applyBorder="1" applyAlignment="1">
      <alignment horizontal="left"/>
    </xf>
    <xf numFmtId="0" fontId="55" fillId="0" borderId="5" xfId="0" applyFont="1" applyFill="1" applyBorder="1" applyAlignment="1">
      <alignment horizontal="left"/>
    </xf>
    <xf numFmtId="0" fontId="55" fillId="0" borderId="0" xfId="0" applyFont="1" applyFill="1" applyBorder="1" applyAlignment="1">
      <alignment horizontal="left"/>
    </xf>
    <xf numFmtId="0" fontId="55" fillId="0" borderId="6" xfId="0" applyFont="1" applyFill="1" applyBorder="1" applyAlignment="1">
      <alignment horizontal="left"/>
    </xf>
    <xf numFmtId="0" fontId="54" fillId="0" borderId="0" xfId="0" applyFont="1" applyBorder="1" applyAlignment="1">
      <alignment horizontal="center"/>
    </xf>
    <xf numFmtId="0" fontId="150" fillId="0" borderId="6" xfId="0" applyNumberFormat="1" applyFont="1" applyBorder="1" applyAlignment="1">
      <alignment horizontal="center"/>
    </xf>
    <xf numFmtId="0" fontId="150" fillId="0" borderId="6" xfId="0" applyNumberFormat="1" applyFont="1" applyBorder="1" applyAlignment="1">
      <alignment horizontal="center" vertical="center"/>
    </xf>
    <xf numFmtId="0" fontId="150" fillId="0" borderId="105" xfId="0" applyNumberFormat="1" applyFont="1" applyBorder="1" applyAlignment="1">
      <alignment horizontal="center"/>
    </xf>
    <xf numFmtId="43" fontId="84" fillId="0" borderId="38" xfId="0" applyNumberFormat="1" applyFont="1" applyBorder="1"/>
    <xf numFmtId="44" fontId="65" fillId="20" borderId="0" xfId="1" applyNumberFormat="1" applyFont="1" applyFill="1" applyBorder="1" applyAlignment="1">
      <alignment horizontal="center" vertical="center"/>
    </xf>
    <xf numFmtId="177" fontId="0" fillId="0" borderId="0" xfId="0" applyNumberFormat="1"/>
    <xf numFmtId="44" fontId="0" fillId="0" borderId="0" xfId="0" applyNumberFormat="1"/>
    <xf numFmtId="0" fontId="0" fillId="0" borderId="0" xfId="0" applyNumberFormat="1"/>
    <xf numFmtId="178" fontId="25" fillId="0" borderId="60" xfId="1" quotePrefix="1" applyNumberFormat="1" applyFont="1" applyBorder="1" applyAlignment="1">
      <alignment horizontal="center" vertical="center"/>
    </xf>
    <xf numFmtId="178" fontId="0" fillId="0" borderId="0" xfId="0" applyNumberFormat="1"/>
    <xf numFmtId="43" fontId="11" fillId="0" borderId="0" xfId="0" quotePrefix="1" applyNumberFormat="1" applyFont="1" applyFill="1" applyBorder="1" applyAlignment="1"/>
    <xf numFmtId="44" fontId="9" fillId="0" borderId="38" xfId="1" quotePrefix="1" applyNumberFormat="1" applyFont="1" applyFill="1" applyBorder="1" applyAlignment="1">
      <alignment horizontal="center" vertical="center"/>
    </xf>
    <xf numFmtId="44" fontId="9" fillId="35" borderId="38" xfId="1" quotePrefix="1" applyNumberFormat="1" applyFont="1" applyFill="1" applyBorder="1" applyAlignment="1">
      <alignment horizontal="center" vertical="center"/>
    </xf>
    <xf numFmtId="43" fontId="134" fillId="0" borderId="333" xfId="1" quotePrefix="1" applyNumberFormat="1" applyFont="1" applyBorder="1" applyAlignment="1">
      <alignment horizontal="center"/>
    </xf>
    <xf numFmtId="44" fontId="148" fillId="0" borderId="190" xfId="0" quotePrefix="1" applyNumberFormat="1" applyFont="1" applyBorder="1" applyAlignment="1">
      <alignment horizontal="center"/>
    </xf>
  </cellXfs>
  <cellStyles count="4">
    <cellStyle name="Milliers 2" xfId="1"/>
    <cellStyle name="Monétaire" xfId="2" builtinId="4"/>
    <cellStyle name="Normal" xfId="0" builtinId="0"/>
    <cellStyle name="Normal 2" xfId="3"/>
  </cellStyles>
  <dxfs count="3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FF00"/>
      <color rgb="FFFF99CC"/>
      <color rgb="FF99FF33"/>
      <color rgb="FFFF33CC"/>
      <color rgb="FFFF99FF"/>
      <color rgb="FFFF66FF"/>
      <color rgb="FFFF00FF"/>
      <color rgb="FFFF3300"/>
      <color rgb="FF00FF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834541</xdr:colOff>
      <xdr:row>70</xdr:row>
      <xdr:rowOff>41828</xdr:rowOff>
    </xdr:from>
    <xdr:to>
      <xdr:col>9</xdr:col>
      <xdr:colOff>937760</xdr:colOff>
      <xdr:row>70</xdr:row>
      <xdr:rowOff>178502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DF565985-0B7D-4038-ADC4-9172AF3C3662}"/>
            </a:ext>
          </a:extLst>
        </xdr:cNvPr>
        <xdr:cNvSpPr/>
      </xdr:nvSpPr>
      <xdr:spPr>
        <a:xfrm rot="1838134">
          <a:off x="6207026" y="11094676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1719695</xdr:colOff>
      <xdr:row>70</xdr:row>
      <xdr:rowOff>42862</xdr:rowOff>
    </xdr:from>
    <xdr:to>
      <xdr:col>9</xdr:col>
      <xdr:colOff>1822914</xdr:colOff>
      <xdr:row>70</xdr:row>
      <xdr:rowOff>179536</xdr:rowOff>
    </xdr:to>
    <xdr:sp macro="" textlink="">
      <xdr:nvSpPr>
        <xdr:cNvPr id="8" name="Flèche : haut 7">
          <a:extLst>
            <a:ext uri="{FF2B5EF4-FFF2-40B4-BE49-F238E27FC236}">
              <a16:creationId xmlns:a16="http://schemas.microsoft.com/office/drawing/2014/main" id="{C611F729-3516-4E1B-B4C8-26A3506D5235}"/>
            </a:ext>
          </a:extLst>
        </xdr:cNvPr>
        <xdr:cNvSpPr/>
      </xdr:nvSpPr>
      <xdr:spPr>
        <a:xfrm rot="1838134">
          <a:off x="7092180" y="11095710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829395</xdr:colOff>
      <xdr:row>69</xdr:row>
      <xdr:rowOff>94216</xdr:rowOff>
    </xdr:from>
    <xdr:to>
      <xdr:col>9</xdr:col>
      <xdr:colOff>932614</xdr:colOff>
      <xdr:row>69</xdr:row>
      <xdr:rowOff>230890</xdr:rowOff>
    </xdr:to>
    <xdr:sp macro="" textlink="">
      <xdr:nvSpPr>
        <xdr:cNvPr id="12" name="Flèche : haut 11">
          <a:extLst>
            <a:ext uri="{FF2B5EF4-FFF2-40B4-BE49-F238E27FC236}">
              <a16:creationId xmlns:a16="http://schemas.microsoft.com/office/drawing/2014/main" id="{6F35006B-3B67-4502-A63D-BA0C47A8A8BD}"/>
            </a:ext>
          </a:extLst>
        </xdr:cNvPr>
        <xdr:cNvSpPr/>
      </xdr:nvSpPr>
      <xdr:spPr>
        <a:xfrm rot="1838134">
          <a:off x="6191970" y="10781266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1701365</xdr:colOff>
      <xdr:row>69</xdr:row>
      <xdr:rowOff>100013</xdr:rowOff>
    </xdr:from>
    <xdr:to>
      <xdr:col>9</xdr:col>
      <xdr:colOff>1804584</xdr:colOff>
      <xdr:row>69</xdr:row>
      <xdr:rowOff>236687</xdr:rowOff>
    </xdr:to>
    <xdr:sp macro="" textlink="">
      <xdr:nvSpPr>
        <xdr:cNvPr id="13" name="Flèche : haut 12">
          <a:extLst>
            <a:ext uri="{FF2B5EF4-FFF2-40B4-BE49-F238E27FC236}">
              <a16:creationId xmlns:a16="http://schemas.microsoft.com/office/drawing/2014/main" id="{5D97A956-122B-4E74-9C9E-C0572CBC1892}"/>
            </a:ext>
          </a:extLst>
        </xdr:cNvPr>
        <xdr:cNvSpPr/>
      </xdr:nvSpPr>
      <xdr:spPr>
        <a:xfrm rot="8418479">
          <a:off x="7073850" y="10875771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838919</xdr:colOff>
      <xdr:row>71</xdr:row>
      <xdr:rowOff>37067</xdr:rowOff>
    </xdr:from>
    <xdr:to>
      <xdr:col>9</xdr:col>
      <xdr:colOff>942138</xdr:colOff>
      <xdr:row>71</xdr:row>
      <xdr:rowOff>173741</xdr:rowOff>
    </xdr:to>
    <xdr:sp macro="" textlink="">
      <xdr:nvSpPr>
        <xdr:cNvPr id="18" name="Flèche : haut 17">
          <a:extLst>
            <a:ext uri="{FF2B5EF4-FFF2-40B4-BE49-F238E27FC236}">
              <a16:creationId xmlns:a16="http://schemas.microsoft.com/office/drawing/2014/main" id="{A48CE0E4-1B4D-49C0-80E5-62122F9023BD}"/>
            </a:ext>
          </a:extLst>
        </xdr:cNvPr>
        <xdr:cNvSpPr/>
      </xdr:nvSpPr>
      <xdr:spPr>
        <a:xfrm rot="1838134">
          <a:off x="6201494" y="11205130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1736147</xdr:colOff>
      <xdr:row>71</xdr:row>
      <xdr:rowOff>57150</xdr:rowOff>
    </xdr:from>
    <xdr:to>
      <xdr:col>9</xdr:col>
      <xdr:colOff>1839366</xdr:colOff>
      <xdr:row>71</xdr:row>
      <xdr:rowOff>193824</xdr:rowOff>
    </xdr:to>
    <xdr:sp macro="" textlink="">
      <xdr:nvSpPr>
        <xdr:cNvPr id="19" name="Flèche : haut 18">
          <a:extLst>
            <a:ext uri="{FF2B5EF4-FFF2-40B4-BE49-F238E27FC236}">
              <a16:creationId xmlns:a16="http://schemas.microsoft.com/office/drawing/2014/main" id="{4A7FC660-4346-486D-86F3-9EA96D8C66E9}"/>
            </a:ext>
          </a:extLst>
        </xdr:cNvPr>
        <xdr:cNvSpPr/>
      </xdr:nvSpPr>
      <xdr:spPr>
        <a:xfrm rot="8627906">
          <a:off x="7108632" y="11317817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843682</xdr:colOff>
      <xdr:row>72</xdr:row>
      <xdr:rowOff>46592</xdr:rowOff>
    </xdr:from>
    <xdr:to>
      <xdr:col>9</xdr:col>
      <xdr:colOff>946901</xdr:colOff>
      <xdr:row>72</xdr:row>
      <xdr:rowOff>183266</xdr:rowOff>
    </xdr:to>
    <xdr:sp macro="" textlink="">
      <xdr:nvSpPr>
        <xdr:cNvPr id="20" name="Flèche : haut 19">
          <a:extLst>
            <a:ext uri="{FF2B5EF4-FFF2-40B4-BE49-F238E27FC236}">
              <a16:creationId xmlns:a16="http://schemas.microsoft.com/office/drawing/2014/main" id="{4BD01502-FE09-435B-85E3-27A7095A19A7}"/>
            </a:ext>
          </a:extLst>
        </xdr:cNvPr>
        <xdr:cNvSpPr/>
      </xdr:nvSpPr>
      <xdr:spPr>
        <a:xfrm rot="8283657">
          <a:off x="6206257" y="11419442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1715271</xdr:colOff>
      <xdr:row>72</xdr:row>
      <xdr:rowOff>47624</xdr:rowOff>
    </xdr:from>
    <xdr:to>
      <xdr:col>9</xdr:col>
      <xdr:colOff>1818490</xdr:colOff>
      <xdr:row>72</xdr:row>
      <xdr:rowOff>184298</xdr:rowOff>
    </xdr:to>
    <xdr:sp macro="" textlink="">
      <xdr:nvSpPr>
        <xdr:cNvPr id="21" name="Flèche : haut 20">
          <a:extLst>
            <a:ext uri="{FF2B5EF4-FFF2-40B4-BE49-F238E27FC236}">
              <a16:creationId xmlns:a16="http://schemas.microsoft.com/office/drawing/2014/main" id="{1EB5F51B-0F35-4A10-9BEF-6DE2AD4E5BA1}"/>
            </a:ext>
          </a:extLst>
        </xdr:cNvPr>
        <xdr:cNvSpPr/>
      </xdr:nvSpPr>
      <xdr:spPr>
        <a:xfrm rot="8348320">
          <a:off x="7087756" y="11516109"/>
          <a:ext cx="103219" cy="1366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281817</xdr:colOff>
      <xdr:row>19</xdr:row>
      <xdr:rowOff>114346</xdr:rowOff>
    </xdr:from>
    <xdr:to>
      <xdr:col>3</xdr:col>
      <xdr:colOff>506334</xdr:colOff>
      <xdr:row>90</xdr:row>
      <xdr:rowOff>77061</xdr:rowOff>
    </xdr:to>
    <xdr:sp macro="" textlink="">
      <xdr:nvSpPr>
        <xdr:cNvPr id="2" name="Forme libre : forme 1">
          <a:extLst>
            <a:ext uri="{FF2B5EF4-FFF2-40B4-BE49-F238E27FC236}">
              <a16:creationId xmlns:a16="http://schemas.microsoft.com/office/drawing/2014/main" id="{646DF43D-F6CD-473D-B91A-7C5F44078C92}"/>
            </a:ext>
          </a:extLst>
        </xdr:cNvPr>
        <xdr:cNvSpPr/>
      </xdr:nvSpPr>
      <xdr:spPr>
        <a:xfrm rot="355276">
          <a:off x="1622937" y="2446066"/>
          <a:ext cx="224517" cy="10036355"/>
        </a:xfrm>
        <a:custGeom>
          <a:avLst/>
          <a:gdLst>
            <a:gd name="connsiteX0" fmla="*/ 0 w 421248"/>
            <a:gd name="connsiteY0" fmla="*/ 0 h 7219950"/>
            <a:gd name="connsiteX1" fmla="*/ 419100 w 421248"/>
            <a:gd name="connsiteY1" fmla="*/ 3505200 h 7219950"/>
            <a:gd name="connsiteX2" fmla="*/ 133350 w 421248"/>
            <a:gd name="connsiteY2" fmla="*/ 7219950 h 7219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1248" h="7219950">
              <a:moveTo>
                <a:pt x="0" y="0"/>
              </a:moveTo>
              <a:cubicBezTo>
                <a:pt x="198437" y="1150937"/>
                <a:pt x="396875" y="2301875"/>
                <a:pt x="419100" y="3505200"/>
              </a:cubicBezTo>
              <a:cubicBezTo>
                <a:pt x="441325" y="4708525"/>
                <a:pt x="287337" y="5964237"/>
                <a:pt x="133350" y="7219950"/>
              </a:cubicBezTo>
            </a:path>
          </a:pathLst>
        </a:custGeom>
        <a:noFill/>
        <a:ln w="41275"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4968</xdr:colOff>
      <xdr:row>42</xdr:row>
      <xdr:rowOff>74212</xdr:rowOff>
    </xdr:from>
    <xdr:to>
      <xdr:col>2</xdr:col>
      <xdr:colOff>274320</xdr:colOff>
      <xdr:row>127</xdr:row>
      <xdr:rowOff>45720</xdr:rowOff>
    </xdr:to>
    <xdr:sp macro="" textlink="">
      <xdr:nvSpPr>
        <xdr:cNvPr id="3" name="Forme libre : forme 2">
          <a:extLst>
            <a:ext uri="{FF2B5EF4-FFF2-40B4-BE49-F238E27FC236}">
              <a16:creationId xmlns:a16="http://schemas.microsoft.com/office/drawing/2014/main" id="{9972F7B8-7D37-4E6C-8BA2-17DA9FD13859}"/>
            </a:ext>
          </a:extLst>
        </xdr:cNvPr>
        <xdr:cNvSpPr/>
      </xdr:nvSpPr>
      <xdr:spPr>
        <a:xfrm flipH="1">
          <a:off x="492648" y="5560612"/>
          <a:ext cx="269352" cy="11828228"/>
        </a:xfrm>
        <a:custGeom>
          <a:avLst/>
          <a:gdLst>
            <a:gd name="connsiteX0" fmla="*/ 0 w 421248"/>
            <a:gd name="connsiteY0" fmla="*/ 0 h 7219950"/>
            <a:gd name="connsiteX1" fmla="*/ 419100 w 421248"/>
            <a:gd name="connsiteY1" fmla="*/ 3505200 h 7219950"/>
            <a:gd name="connsiteX2" fmla="*/ 133350 w 421248"/>
            <a:gd name="connsiteY2" fmla="*/ 7219950 h 7219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1248" h="7219950">
              <a:moveTo>
                <a:pt x="0" y="0"/>
              </a:moveTo>
              <a:cubicBezTo>
                <a:pt x="198437" y="1150937"/>
                <a:pt x="396875" y="2301875"/>
                <a:pt x="419100" y="3505200"/>
              </a:cubicBezTo>
              <a:cubicBezTo>
                <a:pt x="441325" y="4708525"/>
                <a:pt x="287337" y="5964237"/>
                <a:pt x="133350" y="7219950"/>
              </a:cubicBezTo>
            </a:path>
          </a:pathLst>
        </a:custGeom>
        <a:noFill/>
        <a:ln w="41275"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58615</xdr:colOff>
      <xdr:row>62</xdr:row>
      <xdr:rowOff>11960</xdr:rowOff>
    </xdr:from>
    <xdr:to>
      <xdr:col>3</xdr:col>
      <xdr:colOff>703081</xdr:colOff>
      <xdr:row>83</xdr:row>
      <xdr:rowOff>116862</xdr:rowOff>
    </xdr:to>
    <xdr:sp macro="" textlink="">
      <xdr:nvSpPr>
        <xdr:cNvPr id="5" name="Forme libre : forme 4">
          <a:extLst>
            <a:ext uri="{FF2B5EF4-FFF2-40B4-BE49-F238E27FC236}">
              <a16:creationId xmlns:a16="http://schemas.microsoft.com/office/drawing/2014/main" id="{6F28FC5E-30BE-4AE0-91DF-A7A031751D20}"/>
            </a:ext>
          </a:extLst>
        </xdr:cNvPr>
        <xdr:cNvSpPr/>
      </xdr:nvSpPr>
      <xdr:spPr>
        <a:xfrm rot="21043567">
          <a:off x="1399735" y="8744480"/>
          <a:ext cx="644466" cy="3259582"/>
        </a:xfrm>
        <a:custGeom>
          <a:avLst/>
          <a:gdLst>
            <a:gd name="connsiteX0" fmla="*/ 0 w 806513"/>
            <a:gd name="connsiteY0" fmla="*/ 0 h 4114800"/>
            <a:gd name="connsiteX1" fmla="*/ 805543 w 806513"/>
            <a:gd name="connsiteY1" fmla="*/ 2286000 h 4114800"/>
            <a:gd name="connsiteX2" fmla="*/ 130629 w 806513"/>
            <a:gd name="connsiteY2" fmla="*/ 4114800 h 4114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06513" h="4114800">
              <a:moveTo>
                <a:pt x="0" y="0"/>
              </a:moveTo>
              <a:cubicBezTo>
                <a:pt x="391886" y="800100"/>
                <a:pt x="783772" y="1600200"/>
                <a:pt x="805543" y="2286000"/>
              </a:cubicBezTo>
              <a:cubicBezTo>
                <a:pt x="827314" y="2971800"/>
                <a:pt x="478971" y="3543300"/>
                <a:pt x="130629" y="4114800"/>
              </a:cubicBezTo>
            </a:path>
          </a:pathLst>
        </a:custGeom>
        <a:noFill/>
        <a:ln w="31750">
          <a:solidFill>
            <a:srgbClr val="FF0000"/>
          </a:solidFill>
          <a:tailEnd type="stealth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LAN%20-mons%20exe%20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Classeur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JORDAN-COMPTA/COMPTA/COMPTA-5TQ/MODIF-FICHE/EXAM%20NOEL%202014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JORDAN-COMPTA/COMPTA/COMPTA-5TQ/exam-noel14/NOUVEAU-EXAM%20NOEL%20201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JORDAN/JORDAN-COMPTA/COMPTA/COMPTA-5TQ/BILAN/BILAN-G&#233;n&#233;ralBis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VAL-INIT"/>
      <sheetName val="Val-Dép"/>
      <sheetName val="CLIENTS(400-290)"/>
      <sheetName val="BILAN AC-PA"/>
      <sheetName val="Liv-Four-client"/>
      <sheetName val="BIL-SIMPLE"/>
      <sheetName val="Gr liv ACT-PAS"/>
      <sheetName val="LIVRE-JOURNAL"/>
      <sheetName val="Bal des comptes"/>
      <sheetName val="Bal.client-four"/>
      <sheetName val="Jour. Achats-ventes "/>
      <sheetName val="Journ- Finan-Banq"/>
      <sheetName val="Journ- CENTRAL"/>
      <sheetName val="BANQ-POST-CAIISE"/>
      <sheetName val="Feuil2"/>
      <sheetName val="LIV-ENTREE"/>
      <sheetName val="LIV-SORTIE"/>
      <sheetName val="TVA-625"/>
      <sheetName val="PCMN"/>
      <sheetName val="PCMN1"/>
      <sheetName val="Comp Résultat"/>
      <sheetName val="Feuil3"/>
    </sheetNames>
    <sheetDataSet>
      <sheetData sheetId="0"/>
      <sheetData sheetId="1"/>
      <sheetData sheetId="2">
        <row r="25">
          <cell r="E25">
            <v>17012</v>
          </cell>
        </row>
        <row r="50">
          <cell r="E50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. Achats-ventes "/>
      <sheetName val="VAL-INIT"/>
      <sheetName val="Val-Dép"/>
      <sheetName val="Journ- Finan-Banq"/>
      <sheetName val="Liv-Four-client"/>
      <sheetName val="Journ- CENTRAL"/>
      <sheetName val="Gr liv ACT-PAS"/>
      <sheetName val="Bal.client-four"/>
      <sheetName val="BANQ-POST-CAIISE"/>
      <sheetName val="PCMN"/>
      <sheetName val="PCMN1"/>
      <sheetName val="Bal des comptes"/>
      <sheetName val="Comp Résultat"/>
      <sheetName val="BIL-SIMPLE"/>
      <sheetName val="BILAN AC-PA"/>
      <sheetName val="Feuil2"/>
      <sheetName val="Feuil5"/>
      <sheetName val="Feuil3"/>
      <sheetName val="LIV-ENTREE"/>
      <sheetName val="LIV-SORTIE"/>
      <sheetName val="TVA-625"/>
      <sheetName val="Feuil9"/>
      <sheetName val="Feuil1"/>
      <sheetName val="Jour. Achats-ventes"/>
      <sheetName val="Feuil4"/>
    </sheetNames>
    <sheetDataSet>
      <sheetData sheetId="0">
        <row r="2">
          <cell r="B2">
            <v>0</v>
          </cell>
        </row>
      </sheetData>
      <sheetData sheetId="1"/>
      <sheetData sheetId="2">
        <row r="2">
          <cell r="B2">
            <v>0</v>
          </cell>
        </row>
        <row r="13"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550</v>
          </cell>
          <cell r="AE13">
            <v>0</v>
          </cell>
          <cell r="AF13">
            <v>0</v>
          </cell>
        </row>
        <row r="14"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550</v>
          </cell>
          <cell r="AE14">
            <v>0</v>
          </cell>
          <cell r="AF14">
            <v>0</v>
          </cell>
        </row>
        <row r="15"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550</v>
          </cell>
          <cell r="AE15">
            <v>0</v>
          </cell>
          <cell r="AF15">
            <v>0</v>
          </cell>
        </row>
        <row r="16"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550</v>
          </cell>
          <cell r="AE16">
            <v>0</v>
          </cell>
          <cell r="AF16">
            <v>0</v>
          </cell>
        </row>
        <row r="17"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550</v>
          </cell>
          <cell r="AE17">
            <v>0</v>
          </cell>
          <cell r="AF17">
            <v>0</v>
          </cell>
        </row>
        <row r="18"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550</v>
          </cell>
          <cell r="AE18">
            <v>0</v>
          </cell>
          <cell r="AF18">
            <v>0</v>
          </cell>
        </row>
        <row r="19"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550</v>
          </cell>
          <cell r="AE19">
            <v>0</v>
          </cell>
          <cell r="AF19">
            <v>0</v>
          </cell>
        </row>
        <row r="20"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550</v>
          </cell>
          <cell r="AE20">
            <v>0</v>
          </cell>
          <cell r="AF20">
            <v>0</v>
          </cell>
        </row>
        <row r="21"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550</v>
          </cell>
          <cell r="AE21">
            <v>0</v>
          </cell>
          <cell r="AF21">
            <v>0</v>
          </cell>
        </row>
        <row r="22"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550</v>
          </cell>
          <cell r="AE22">
            <v>0</v>
          </cell>
          <cell r="AF22">
            <v>0</v>
          </cell>
        </row>
        <row r="23"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550</v>
          </cell>
          <cell r="AE23">
            <v>0</v>
          </cell>
          <cell r="AF23">
            <v>0</v>
          </cell>
        </row>
        <row r="35">
          <cell r="B35">
            <v>0</v>
          </cell>
          <cell r="G35" t="str">
            <v>Banque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1</v>
          </cell>
          <cell r="Q35">
            <v>0</v>
          </cell>
          <cell r="R35">
            <v>0</v>
          </cell>
          <cell r="S35">
            <v>0.06</v>
          </cell>
          <cell r="T35">
            <v>1</v>
          </cell>
          <cell r="U35">
            <v>0</v>
          </cell>
          <cell r="V35" t="str">
            <v>0</v>
          </cell>
          <cell r="W35" t="str">
            <v>0</v>
          </cell>
          <cell r="X35">
            <v>0</v>
          </cell>
          <cell r="Y35">
            <v>0</v>
          </cell>
          <cell r="Z35" t="str">
            <v>0</v>
          </cell>
          <cell r="AA35">
            <v>0</v>
          </cell>
          <cell r="AB35" t="str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550</v>
          </cell>
          <cell r="AL35">
            <v>0</v>
          </cell>
        </row>
        <row r="36">
          <cell r="B36">
            <v>0</v>
          </cell>
          <cell r="G36" t="str">
            <v>Banque</v>
          </cell>
          <cell r="H36" t="str">
            <v>Marchandise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</v>
          </cell>
          <cell r="Q36">
            <v>0</v>
          </cell>
          <cell r="R36">
            <v>0</v>
          </cell>
          <cell r="S36">
            <v>0.21</v>
          </cell>
          <cell r="T36">
            <v>1</v>
          </cell>
          <cell r="U36" t="str">
            <v>0</v>
          </cell>
          <cell r="V36">
            <v>0</v>
          </cell>
          <cell r="W36" t="str">
            <v>0</v>
          </cell>
          <cell r="X36">
            <v>0</v>
          </cell>
          <cell r="Y36">
            <v>0</v>
          </cell>
          <cell r="Z36" t="str">
            <v>0</v>
          </cell>
          <cell r="AA36">
            <v>0</v>
          </cell>
          <cell r="AB36" t="str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550</v>
          </cell>
          <cell r="AL36">
            <v>0</v>
          </cell>
        </row>
        <row r="37">
          <cell r="B37">
            <v>0</v>
          </cell>
          <cell r="G37" t="str">
            <v>Banque</v>
          </cell>
          <cell r="H37" t="str">
            <v>outillage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1</v>
          </cell>
          <cell r="Q37">
            <v>0</v>
          </cell>
          <cell r="R37">
            <v>0</v>
          </cell>
          <cell r="S37">
            <v>0.21</v>
          </cell>
          <cell r="T37">
            <v>1</v>
          </cell>
          <cell r="U37">
            <v>0</v>
          </cell>
          <cell r="V37" t="str">
            <v>0</v>
          </cell>
          <cell r="W37" t="str">
            <v>0</v>
          </cell>
          <cell r="X37">
            <v>0</v>
          </cell>
          <cell r="Y37">
            <v>0</v>
          </cell>
          <cell r="Z37" t="str">
            <v>0</v>
          </cell>
          <cell r="AA37">
            <v>0</v>
          </cell>
          <cell r="AB37" t="str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550</v>
          </cell>
          <cell r="AL37">
            <v>0</v>
          </cell>
        </row>
        <row r="38">
          <cell r="B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</v>
          </cell>
          <cell r="Q38">
            <v>0</v>
          </cell>
          <cell r="R38">
            <v>0</v>
          </cell>
          <cell r="S38">
            <v>0</v>
          </cell>
          <cell r="T38">
            <v>1</v>
          </cell>
          <cell r="U38">
            <v>0</v>
          </cell>
          <cell r="V38" t="str">
            <v>0</v>
          </cell>
          <cell r="W38" t="str">
            <v>0</v>
          </cell>
          <cell r="X38">
            <v>0</v>
          </cell>
          <cell r="Y38">
            <v>0</v>
          </cell>
          <cell r="Z38" t="str">
            <v>0</v>
          </cell>
          <cell r="AA38">
            <v>0</v>
          </cell>
          <cell r="AB38" t="str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550</v>
          </cell>
          <cell r="AL38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1</v>
          </cell>
          <cell r="Q39">
            <v>0</v>
          </cell>
          <cell r="R39">
            <v>0</v>
          </cell>
          <cell r="S39">
            <v>0</v>
          </cell>
          <cell r="T39">
            <v>1</v>
          </cell>
          <cell r="U39">
            <v>0</v>
          </cell>
          <cell r="V39" t="str">
            <v>0</v>
          </cell>
          <cell r="W39" t="str">
            <v>0</v>
          </cell>
          <cell r="X39">
            <v>0</v>
          </cell>
          <cell r="Y39">
            <v>0</v>
          </cell>
          <cell r="Z39" t="str">
            <v>0</v>
          </cell>
          <cell r="AA39">
            <v>0</v>
          </cell>
          <cell r="AB39" t="str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550</v>
          </cell>
          <cell r="AL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1</v>
          </cell>
          <cell r="U40">
            <v>0</v>
          </cell>
          <cell r="V40" t="str">
            <v>0</v>
          </cell>
          <cell r="W40" t="str">
            <v>0</v>
          </cell>
          <cell r="X40">
            <v>0</v>
          </cell>
          <cell r="Y40">
            <v>0</v>
          </cell>
          <cell r="Z40" t="str">
            <v>0</v>
          </cell>
          <cell r="AA40">
            <v>0</v>
          </cell>
          <cell r="AB40" t="str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550</v>
          </cell>
          <cell r="AL40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0</v>
          </cell>
          <cell r="R41">
            <v>0</v>
          </cell>
          <cell r="S41">
            <v>0</v>
          </cell>
          <cell r="T41">
            <v>1</v>
          </cell>
          <cell r="U41">
            <v>0</v>
          </cell>
          <cell r="V41" t="str">
            <v>0</v>
          </cell>
          <cell r="W41" t="str">
            <v>0</v>
          </cell>
          <cell r="X41">
            <v>0</v>
          </cell>
          <cell r="Y41">
            <v>0</v>
          </cell>
          <cell r="Z41" t="str">
            <v>0</v>
          </cell>
          <cell r="AA41">
            <v>0</v>
          </cell>
          <cell r="AB41" t="str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550</v>
          </cell>
          <cell r="AL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1</v>
          </cell>
          <cell r="Q42">
            <v>0</v>
          </cell>
          <cell r="R42">
            <v>0</v>
          </cell>
          <cell r="S42">
            <v>0</v>
          </cell>
          <cell r="T42">
            <v>1</v>
          </cell>
          <cell r="U42">
            <v>0</v>
          </cell>
          <cell r="V42" t="str">
            <v>0</v>
          </cell>
          <cell r="W42" t="str">
            <v>0</v>
          </cell>
          <cell r="X42">
            <v>0</v>
          </cell>
          <cell r="Y42">
            <v>0</v>
          </cell>
          <cell r="Z42" t="str">
            <v>0</v>
          </cell>
          <cell r="AA42">
            <v>0</v>
          </cell>
          <cell r="AB42" t="str">
            <v>0</v>
          </cell>
          <cell r="AC42">
            <v>0</v>
          </cell>
          <cell r="AD42" t="str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550</v>
          </cell>
          <cell r="AL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1</v>
          </cell>
          <cell r="U43">
            <v>0</v>
          </cell>
          <cell r="V43" t="str">
            <v>0</v>
          </cell>
          <cell r="W43" t="str">
            <v>0</v>
          </cell>
          <cell r="X43">
            <v>0</v>
          </cell>
          <cell r="Y43">
            <v>0</v>
          </cell>
          <cell r="Z43" t="str">
            <v>0</v>
          </cell>
          <cell r="AA43">
            <v>0</v>
          </cell>
          <cell r="AB43" t="str">
            <v>0</v>
          </cell>
          <cell r="AC43" t="str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550</v>
          </cell>
          <cell r="AL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1</v>
          </cell>
          <cell r="U44">
            <v>0</v>
          </cell>
          <cell r="V44" t="str">
            <v>0</v>
          </cell>
          <cell r="W44" t="str">
            <v>0</v>
          </cell>
          <cell r="X44">
            <v>0</v>
          </cell>
          <cell r="Y44">
            <v>0</v>
          </cell>
          <cell r="Z44" t="str">
            <v>0</v>
          </cell>
          <cell r="AA44">
            <v>0</v>
          </cell>
          <cell r="AB44" t="str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550</v>
          </cell>
          <cell r="AL44">
            <v>0</v>
          </cell>
        </row>
        <row r="77">
          <cell r="D77" t="str">
            <v>avance tva</v>
          </cell>
          <cell r="E77">
            <v>0</v>
          </cell>
          <cell r="F77">
            <v>150</v>
          </cell>
        </row>
        <row r="78">
          <cell r="D78" t="str">
            <v>avance tva</v>
          </cell>
          <cell r="E78">
            <v>0</v>
          </cell>
          <cell r="F78">
            <v>150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B2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Val-Départ"/>
      <sheetName val="Liv. comp.four-client."/>
      <sheetName val="Gr liv ACT-PAS"/>
      <sheetName val="Bal.client-four"/>
      <sheetName val="PCMN"/>
      <sheetName val="Jour. Achats-ventes"/>
      <sheetName val="Journ- Finan-central"/>
      <sheetName val="Comp Résultat"/>
      <sheetName val="BILAN AC-PA"/>
      <sheetName val="Feuil1"/>
    </sheetNames>
    <sheetDataSet>
      <sheetData sheetId="0"/>
      <sheetData sheetId="1">
        <row r="29">
          <cell r="O29">
            <v>0</v>
          </cell>
        </row>
      </sheetData>
      <sheetData sheetId="2">
        <row r="12">
          <cell r="M12" t="str">
            <v>F0074</v>
          </cell>
        </row>
        <row r="51">
          <cell r="E51" t="str">
            <v>ccc</v>
          </cell>
        </row>
        <row r="59">
          <cell r="E59">
            <v>0</v>
          </cell>
        </row>
        <row r="64">
          <cell r="E64">
            <v>0</v>
          </cell>
        </row>
        <row r="69">
          <cell r="E69">
            <v>0</v>
          </cell>
        </row>
        <row r="74">
          <cell r="E74">
            <v>0</v>
          </cell>
        </row>
      </sheetData>
      <sheetData sheetId="3">
        <row r="3">
          <cell r="M3" t="str">
            <v>Capital</v>
          </cell>
        </row>
        <row r="11">
          <cell r="M11" t="str">
            <v>Emprunt</v>
          </cell>
        </row>
        <row r="88">
          <cell r="C88" t="str">
            <v>banq poste</v>
          </cell>
        </row>
        <row r="96">
          <cell r="C96" t="str">
            <v>caisse</v>
          </cell>
        </row>
        <row r="113">
          <cell r="C113" t="str">
            <v>Achat march</v>
          </cell>
          <cell r="M113" t="str">
            <v>Vente Mach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Val-Départ"/>
      <sheetName val="Liv. comp.four-client."/>
      <sheetName val="Gr liv ACT-PAS"/>
      <sheetName val="Bal.client-four"/>
      <sheetName val="PCMN"/>
      <sheetName val="Bal des comptes"/>
      <sheetName val="Jour. Achats-ventes"/>
      <sheetName val="Journ- Finan-central"/>
      <sheetName val="Comp Résultat"/>
      <sheetName val="BILAN AC-PA"/>
      <sheetName val="Feuil1"/>
    </sheetNames>
    <sheetDataSet>
      <sheetData sheetId="0"/>
      <sheetData sheetId="1">
        <row r="20">
          <cell r="K20">
            <v>2615.2799999999997</v>
          </cell>
        </row>
        <row r="26">
          <cell r="B26" t="str">
            <v>F0074</v>
          </cell>
        </row>
        <row r="27">
          <cell r="B27" t="str">
            <v>F0030</v>
          </cell>
        </row>
        <row r="28">
          <cell r="B28" t="str">
            <v>F0012</v>
          </cell>
        </row>
        <row r="30">
          <cell r="B30">
            <v>0</v>
          </cell>
        </row>
        <row r="32">
          <cell r="B3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-INIT"/>
      <sheetName val="Val-Dép"/>
      <sheetName val="Liv-Four-client"/>
      <sheetName val="Gr liv ACT-PAS"/>
      <sheetName val="Bal.client-four"/>
      <sheetName val="BANQ-POSCAIISE"/>
      <sheetName val="PCMN"/>
      <sheetName val="PCMN1"/>
      <sheetName val="Bal des comptes"/>
      <sheetName val="Comp Résultat"/>
      <sheetName val="BIL-SIMPLE"/>
      <sheetName val="BILAN AC-PA"/>
      <sheetName val="Journ- Finan-Banq"/>
      <sheetName val="Journ- CENTRAL"/>
      <sheetName val="Feuil2"/>
      <sheetName val="Feuil5"/>
      <sheetName val="Feuil3"/>
      <sheetName val="LIV-ENTREE"/>
      <sheetName val="LIV-SORTIE"/>
      <sheetName val="TVA-625"/>
      <sheetName val="Feuil9"/>
      <sheetName val="Feuil1"/>
    </sheetNames>
    <sheetDataSet>
      <sheetData sheetId="0"/>
      <sheetData sheetId="1">
        <row r="13">
          <cell r="B13">
            <v>0</v>
          </cell>
        </row>
        <row r="23"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 t="str">
            <v>0</v>
          </cell>
          <cell r="S23" t="str">
            <v>0</v>
          </cell>
          <cell r="T23">
            <v>0</v>
          </cell>
          <cell r="U23">
            <v>0</v>
          </cell>
          <cell r="V23">
            <v>0</v>
          </cell>
          <cell r="W23"/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76"/>
  <sheetViews>
    <sheetView topLeftCell="G1" workbookViewId="0">
      <selection activeCell="H12" sqref="H12"/>
    </sheetView>
  </sheetViews>
  <sheetFormatPr baseColWidth="10" defaultRowHeight="13.8" x14ac:dyDescent="0.25"/>
  <sheetData>
    <row r="3" spans="2:19" ht="15" x14ac:dyDescent="0.25">
      <c r="I3" s="141" t="s">
        <v>1869</v>
      </c>
      <c r="J3" s="141"/>
      <c r="K3" s="141"/>
      <c r="L3" s="141"/>
      <c r="M3" s="483" t="s">
        <v>1868</v>
      </c>
    </row>
    <row r="4" spans="2:19" ht="15" x14ac:dyDescent="0.25">
      <c r="B4" s="465" t="s">
        <v>1735</v>
      </c>
      <c r="C4" s="465"/>
      <c r="D4" s="465"/>
      <c r="E4" s="465"/>
      <c r="F4" s="465"/>
    </row>
    <row r="5" spans="2:19" ht="15" x14ac:dyDescent="0.25">
      <c r="B5" s="465"/>
      <c r="C5" s="465"/>
      <c r="D5" s="465"/>
      <c r="E5" s="465"/>
      <c r="F5" s="465"/>
    </row>
    <row r="6" spans="2:19" ht="18" x14ac:dyDescent="0.35">
      <c r="B6" s="3896" t="s">
        <v>1736</v>
      </c>
      <c r="C6" s="3896"/>
      <c r="D6" s="3896"/>
      <c r="E6" s="3896"/>
      <c r="F6" s="3896"/>
      <c r="G6" s="3896"/>
      <c r="I6" s="3890" t="s">
        <v>1843</v>
      </c>
      <c r="J6" s="3891"/>
      <c r="K6" s="3891"/>
      <c r="L6" s="3891"/>
      <c r="M6" s="3891"/>
      <c r="N6" s="3891"/>
      <c r="O6" s="3891"/>
      <c r="P6" s="3891"/>
      <c r="Q6" s="3891"/>
      <c r="R6" s="3892"/>
    </row>
    <row r="7" spans="2:19" ht="15.6" x14ac:dyDescent="0.3">
      <c r="I7" s="3893" t="s">
        <v>1842</v>
      </c>
      <c r="J7" s="3894"/>
      <c r="K7" s="3894"/>
      <c r="L7" s="3894"/>
      <c r="M7" s="3894"/>
      <c r="N7" s="3894"/>
      <c r="O7" s="3894"/>
      <c r="P7" s="3894"/>
      <c r="Q7" s="3894"/>
      <c r="R7" s="3895"/>
    </row>
    <row r="10" spans="2:19" x14ac:dyDescent="0.25">
      <c r="B10" s="333" t="s">
        <v>184</v>
      </c>
      <c r="C10" s="332"/>
      <c r="D10" s="332"/>
      <c r="E10" s="335"/>
      <c r="F10" s="332"/>
      <c r="G10" s="4"/>
      <c r="H10" s="4"/>
      <c r="I10" s="3907" t="s">
        <v>2465</v>
      </c>
      <c r="J10" s="3907"/>
      <c r="K10" s="3907"/>
      <c r="L10" s="3907"/>
      <c r="M10" s="3907"/>
      <c r="N10" s="3907"/>
      <c r="O10" s="3907"/>
      <c r="P10" s="3907"/>
      <c r="Q10" s="3907"/>
      <c r="R10" s="3907"/>
      <c r="S10" s="3907"/>
    </row>
    <row r="11" spans="2:19" x14ac:dyDescent="0.25">
      <c r="B11" s="333" t="s">
        <v>183</v>
      </c>
      <c r="C11" s="332"/>
      <c r="D11" s="332"/>
      <c r="E11" s="332"/>
      <c r="F11" s="141"/>
      <c r="K11" s="3"/>
      <c r="Q11" s="4"/>
    </row>
    <row r="12" spans="2:19" ht="18" x14ac:dyDescent="0.35">
      <c r="B12" s="328" t="s">
        <v>182</v>
      </c>
      <c r="C12" s="327"/>
      <c r="D12" s="327"/>
      <c r="E12" s="327"/>
      <c r="F12" s="141"/>
      <c r="G12" s="332"/>
      <c r="H12" s="332"/>
      <c r="I12" s="141"/>
      <c r="J12" s="4541" t="s">
        <v>2523</v>
      </c>
      <c r="K12" s="3"/>
      <c r="Q12" s="4"/>
    </row>
    <row r="13" spans="2:19" ht="18" x14ac:dyDescent="0.35">
      <c r="B13" s="334" t="s">
        <v>181</v>
      </c>
      <c r="C13" s="68"/>
      <c r="D13" s="68"/>
      <c r="E13" s="68"/>
      <c r="G13" s="141"/>
      <c r="H13" s="141"/>
      <c r="I13" s="141"/>
      <c r="J13" s="4541" t="s">
        <v>2522</v>
      </c>
      <c r="K13" s="3"/>
      <c r="Q13" s="4"/>
    </row>
    <row r="14" spans="2:19" x14ac:dyDescent="0.25">
      <c r="G14" s="141"/>
      <c r="H14" s="141"/>
      <c r="I14" s="141"/>
      <c r="K14" s="3"/>
      <c r="Q14" s="4"/>
    </row>
    <row r="15" spans="2:19" ht="15.6" x14ac:dyDescent="0.3">
      <c r="B15" s="5" t="s">
        <v>1884</v>
      </c>
      <c r="K15" s="3"/>
      <c r="Q15" s="4"/>
    </row>
    <row r="16" spans="2:19" x14ac:dyDescent="0.25">
      <c r="B16" s="51"/>
      <c r="C16" s="3"/>
      <c r="D16" s="55"/>
      <c r="F16" s="332"/>
      <c r="K16" s="3"/>
      <c r="Q16" s="4"/>
    </row>
    <row r="17" spans="2:17" x14ac:dyDescent="0.25">
      <c r="B17" s="51"/>
      <c r="C17" s="3"/>
      <c r="D17" s="55"/>
      <c r="F17" s="332"/>
      <c r="K17" s="3"/>
      <c r="Q17" s="4"/>
    </row>
    <row r="18" spans="2:17" x14ac:dyDescent="0.25">
      <c r="B18" s="49" t="s">
        <v>180</v>
      </c>
      <c r="C18" s="44"/>
      <c r="D18" s="44"/>
      <c r="E18" s="44"/>
      <c r="F18" s="70"/>
      <c r="Q18" s="4"/>
    </row>
    <row r="19" spans="2:17" x14ac:dyDescent="0.25">
      <c r="B19" s="53" t="s">
        <v>177</v>
      </c>
      <c r="C19" s="52"/>
      <c r="D19" s="52"/>
      <c r="E19" s="52"/>
      <c r="F19" s="69"/>
      <c r="Q19" s="4"/>
    </row>
    <row r="20" spans="2:17" x14ac:dyDescent="0.25">
      <c r="B20" s="56"/>
      <c r="C20" s="3"/>
      <c r="D20" s="55"/>
      <c r="Q20" s="4"/>
    </row>
    <row r="21" spans="2:17" x14ac:dyDescent="0.25">
      <c r="B21" s="51"/>
      <c r="C21" s="3"/>
      <c r="D21" s="55"/>
      <c r="Q21" s="4"/>
    </row>
    <row r="22" spans="2:17" x14ac:dyDescent="0.25">
      <c r="B22" s="54"/>
      <c r="C22" s="49" t="s">
        <v>179</v>
      </c>
      <c r="D22" s="44"/>
      <c r="E22" s="44"/>
      <c r="F22" s="44"/>
      <c r="G22" s="44"/>
      <c r="H22" s="44"/>
      <c r="I22" s="44"/>
      <c r="Q22" s="4"/>
    </row>
    <row r="23" spans="2:17" x14ac:dyDescent="0.25">
      <c r="C23" s="53" t="s">
        <v>178</v>
      </c>
      <c r="D23" s="52"/>
      <c r="E23" s="52"/>
      <c r="F23" s="52"/>
      <c r="G23" s="52"/>
      <c r="H23" s="52"/>
      <c r="I23" s="52"/>
      <c r="Q23" s="4"/>
    </row>
    <row r="24" spans="2:17" x14ac:dyDescent="0.25">
      <c r="Q24" s="4"/>
    </row>
    <row r="25" spans="2:17" x14ac:dyDescent="0.25">
      <c r="B25" s="582" t="s">
        <v>364</v>
      </c>
      <c r="L25" s="4"/>
    </row>
    <row r="26" spans="2:17" x14ac:dyDescent="0.25">
      <c r="L26" s="4"/>
    </row>
    <row r="27" spans="2:17" ht="15.6" x14ac:dyDescent="0.3">
      <c r="B27" s="3902" t="s">
        <v>1789</v>
      </c>
      <c r="C27" s="3902"/>
      <c r="D27" s="3902"/>
      <c r="E27" s="3902"/>
      <c r="F27" s="469"/>
      <c r="G27" s="467"/>
      <c r="H27" s="467"/>
      <c r="I27" s="467"/>
      <c r="J27" s="467"/>
      <c r="K27" s="466"/>
      <c r="L27" s="542">
        <v>42006</v>
      </c>
      <c r="M27" s="3908" t="s">
        <v>1978</v>
      </c>
      <c r="N27" s="3908"/>
      <c r="O27" s="3908"/>
      <c r="P27" s="3908"/>
      <c r="Q27" s="3908"/>
    </row>
    <row r="28" spans="2:17" ht="15.6" x14ac:dyDescent="0.3">
      <c r="B28" s="466"/>
      <c r="C28" s="466"/>
      <c r="D28" s="466"/>
      <c r="E28" s="466"/>
      <c r="F28" s="469"/>
      <c r="G28" s="467"/>
      <c r="H28" s="467"/>
      <c r="I28" s="467"/>
      <c r="J28" s="467"/>
      <c r="K28" s="468"/>
      <c r="L28" s="542">
        <v>42006</v>
      </c>
      <c r="M28" s="3908" t="s">
        <v>1995</v>
      </c>
      <c r="N28" s="3908"/>
      <c r="O28" s="3908"/>
      <c r="P28" s="3908"/>
      <c r="Q28" s="3908"/>
    </row>
    <row r="29" spans="2:17" x14ac:dyDescent="0.25">
      <c r="B29" s="3902" t="s">
        <v>1790</v>
      </c>
      <c r="C29" s="3902"/>
      <c r="D29" s="3902"/>
      <c r="E29" s="3902"/>
      <c r="F29" s="3902"/>
      <c r="G29" s="466"/>
      <c r="H29" s="466"/>
      <c r="I29" s="466"/>
      <c r="J29" s="466"/>
      <c r="K29" s="466"/>
      <c r="L29" s="543">
        <v>42007</v>
      </c>
      <c r="M29" s="3908" t="s">
        <v>1979</v>
      </c>
      <c r="N29" s="3908"/>
      <c r="O29" s="3908"/>
      <c r="P29" s="3908"/>
      <c r="Q29" s="3908"/>
    </row>
    <row r="30" spans="2:17" ht="15.6" x14ac:dyDescent="0.3">
      <c r="B30" s="467"/>
      <c r="C30" s="466"/>
      <c r="D30" s="556"/>
      <c r="E30" s="556"/>
      <c r="F30" s="469"/>
      <c r="G30" s="466"/>
      <c r="H30" s="466"/>
      <c r="I30" s="466"/>
      <c r="J30" s="466"/>
      <c r="K30" s="466"/>
      <c r="L30" s="542">
        <v>42008</v>
      </c>
      <c r="M30" s="3908" t="s">
        <v>1978</v>
      </c>
      <c r="N30" s="3908"/>
      <c r="O30" s="3908"/>
      <c r="P30" s="3908"/>
      <c r="Q30" s="3908"/>
    </row>
    <row r="31" spans="2:17" ht="15.6" x14ac:dyDescent="0.3">
      <c r="B31" s="467"/>
      <c r="C31" s="466"/>
      <c r="D31" s="556"/>
      <c r="E31" s="556"/>
      <c r="F31" s="469"/>
      <c r="G31" s="466"/>
      <c r="H31" s="466"/>
      <c r="I31" s="466"/>
      <c r="J31" s="466"/>
      <c r="K31" s="466"/>
      <c r="L31" s="542">
        <v>42009</v>
      </c>
      <c r="M31" s="3908" t="s">
        <v>1980</v>
      </c>
      <c r="N31" s="3908"/>
      <c r="O31" s="3908"/>
      <c r="P31" s="3908"/>
      <c r="Q31" s="3908"/>
    </row>
    <row r="32" spans="2:17" ht="15.6" x14ac:dyDescent="0.3">
      <c r="B32" s="3882" t="s">
        <v>1791</v>
      </c>
      <c r="C32" s="3883"/>
      <c r="D32" s="3883"/>
      <c r="E32" s="3883"/>
      <c r="F32" s="3883"/>
      <c r="G32" s="3883"/>
      <c r="H32" s="3883"/>
      <c r="I32" s="556"/>
      <c r="J32" s="556"/>
      <c r="K32" s="556"/>
      <c r="L32" s="542">
        <v>42010</v>
      </c>
      <c r="M32" s="3908" t="s">
        <v>1981</v>
      </c>
      <c r="N32" s="3908"/>
      <c r="O32" s="3908"/>
      <c r="P32" s="3908"/>
      <c r="Q32" s="3908"/>
    </row>
    <row r="33" spans="2:17" ht="15.6" x14ac:dyDescent="0.3">
      <c r="B33" s="467"/>
      <c r="C33" s="466"/>
      <c r="D33" s="556"/>
      <c r="E33" s="556"/>
      <c r="F33" s="469"/>
      <c r="G33" s="466"/>
      <c r="H33" s="466"/>
      <c r="I33" s="466"/>
      <c r="J33" s="466"/>
      <c r="K33" s="466"/>
      <c r="L33" s="542">
        <v>42012</v>
      </c>
      <c r="M33" s="3899" t="s">
        <v>1982</v>
      </c>
      <c r="N33" s="3900"/>
      <c r="O33" s="3900"/>
      <c r="P33" s="3900"/>
      <c r="Q33" s="3900"/>
    </row>
    <row r="34" spans="2:17" x14ac:dyDescent="0.25">
      <c r="B34" s="471" t="s">
        <v>1792</v>
      </c>
      <c r="C34" s="472"/>
      <c r="D34" s="512"/>
      <c r="E34" s="512"/>
      <c r="F34" s="560"/>
      <c r="G34" s="475"/>
      <c r="H34" s="466"/>
      <c r="I34" s="466"/>
      <c r="J34" s="466"/>
      <c r="K34" s="466"/>
      <c r="L34" s="544">
        <v>42013</v>
      </c>
      <c r="M34" s="3897" t="s">
        <v>1983</v>
      </c>
      <c r="N34" s="3898"/>
      <c r="O34" s="3898"/>
      <c r="P34" s="3898"/>
      <c r="Q34" s="3898"/>
    </row>
    <row r="35" spans="2:17" x14ac:dyDescent="0.25">
      <c r="B35" s="509" t="s">
        <v>1789</v>
      </c>
      <c r="C35" s="499"/>
      <c r="D35" s="499"/>
      <c r="E35" s="499"/>
      <c r="F35" s="561"/>
      <c r="G35" s="505"/>
      <c r="H35" s="556"/>
      <c r="I35" s="556"/>
      <c r="J35" s="556"/>
      <c r="K35" s="556"/>
      <c r="L35" s="545">
        <v>42014</v>
      </c>
      <c r="M35" s="3897" t="s">
        <v>1984</v>
      </c>
      <c r="N35" s="3898"/>
      <c r="O35" s="3898"/>
      <c r="P35" s="3898"/>
      <c r="Q35" s="3898"/>
    </row>
    <row r="36" spans="2:17" x14ac:dyDescent="0.25">
      <c r="B36" s="505"/>
      <c r="C36" s="556"/>
      <c r="D36" s="556"/>
      <c r="E36" s="556"/>
      <c r="F36" s="562"/>
      <c r="G36" s="505"/>
      <c r="H36" s="556"/>
      <c r="I36" s="556"/>
      <c r="J36" s="556"/>
      <c r="K36" s="556"/>
      <c r="L36" s="545">
        <v>42022</v>
      </c>
      <c r="M36" s="3899" t="s">
        <v>1982</v>
      </c>
      <c r="N36" s="3900"/>
      <c r="O36" s="3900"/>
      <c r="P36" s="3900"/>
      <c r="Q36" s="3900"/>
    </row>
    <row r="37" spans="2:17" x14ac:dyDescent="0.25">
      <c r="B37" s="506" t="s">
        <v>1793</v>
      </c>
      <c r="C37" s="507"/>
      <c r="D37" s="507"/>
      <c r="E37" s="507"/>
      <c r="F37" s="508"/>
      <c r="G37" s="506"/>
      <c r="H37" s="507"/>
      <c r="I37" s="507"/>
      <c r="J37" s="507"/>
      <c r="K37" s="507"/>
      <c r="L37" s="546">
        <v>42023</v>
      </c>
      <c r="M37" s="3901" t="s">
        <v>1985</v>
      </c>
      <c r="N37" s="3901"/>
      <c r="O37" s="3901"/>
      <c r="P37" s="3901"/>
      <c r="Q37" s="3901"/>
    </row>
    <row r="38" spans="2:17" x14ac:dyDescent="0.25">
      <c r="B38" s="506" t="s">
        <v>1794</v>
      </c>
      <c r="C38" s="507"/>
      <c r="D38" s="507"/>
      <c r="E38" s="507"/>
      <c r="F38" s="508"/>
      <c r="G38" s="506"/>
      <c r="H38" s="507"/>
      <c r="I38" s="507"/>
      <c r="J38" s="507"/>
      <c r="K38" s="507"/>
      <c r="L38" s="547">
        <v>42029</v>
      </c>
      <c r="M38" s="3906" t="s">
        <v>1986</v>
      </c>
      <c r="N38" s="3902"/>
      <c r="O38" s="3902"/>
      <c r="P38" s="3902"/>
      <c r="Q38" s="3902"/>
    </row>
    <row r="39" spans="2:17" x14ac:dyDescent="0.25">
      <c r="B39" s="506" t="s">
        <v>1795</v>
      </c>
      <c r="C39" s="507"/>
      <c r="D39" s="507"/>
      <c r="E39" s="507"/>
      <c r="F39" s="508"/>
      <c r="G39" s="506"/>
      <c r="H39" s="507"/>
      <c r="I39" s="507"/>
      <c r="J39" s="507"/>
      <c r="K39" s="507"/>
      <c r="L39" s="507"/>
      <c r="M39" s="507"/>
      <c r="N39" s="507"/>
      <c r="Q39" s="4"/>
    </row>
    <row r="40" spans="2:17" x14ac:dyDescent="0.25">
      <c r="B40" s="509" t="s">
        <v>1796</v>
      </c>
      <c r="C40" s="510"/>
      <c r="D40" s="510"/>
      <c r="E40" s="510"/>
      <c r="F40" s="511"/>
      <c r="G40" s="506"/>
      <c r="H40" s="507"/>
      <c r="I40" s="507"/>
      <c r="J40" s="507"/>
      <c r="K40" s="507"/>
      <c r="L40" s="507"/>
      <c r="M40" s="507"/>
      <c r="N40" s="507"/>
      <c r="Q40" s="4"/>
    </row>
    <row r="41" spans="2:17" x14ac:dyDescent="0.25">
      <c r="B41" s="467"/>
      <c r="C41" s="467"/>
      <c r="D41" s="557"/>
      <c r="E41" s="512"/>
      <c r="F41" s="512"/>
      <c r="G41" s="556"/>
      <c r="H41" s="556"/>
      <c r="I41" s="556"/>
      <c r="J41" s="556"/>
      <c r="K41" s="556"/>
      <c r="L41" s="556"/>
      <c r="M41" s="556"/>
      <c r="N41" s="556"/>
    </row>
    <row r="42" spans="2:17" x14ac:dyDescent="0.25">
      <c r="B42" s="513" t="s">
        <v>1797</v>
      </c>
      <c r="C42" s="512"/>
      <c r="D42" s="559"/>
      <c r="E42" s="556"/>
      <c r="F42" s="469"/>
      <c r="G42" s="466"/>
      <c r="H42" s="466"/>
      <c r="I42" s="466"/>
      <c r="J42" s="466"/>
      <c r="K42" s="466"/>
      <c r="L42" s="470"/>
      <c r="M42" s="556"/>
      <c r="N42" s="466"/>
    </row>
    <row r="43" spans="2:17" x14ac:dyDescent="0.25">
      <c r="B43" s="500" t="s">
        <v>1798</v>
      </c>
      <c r="C43" s="501"/>
      <c r="D43" s="502"/>
      <c r="E43" s="507"/>
      <c r="F43" s="507"/>
      <c r="G43" s="507"/>
      <c r="H43" s="507"/>
      <c r="I43" s="507"/>
      <c r="J43" s="507"/>
      <c r="K43" s="507"/>
      <c r="L43" s="507"/>
      <c r="M43" s="507"/>
      <c r="N43" s="507"/>
    </row>
    <row r="44" spans="2:17" x14ac:dyDescent="0.25">
      <c r="B44" s="500" t="s">
        <v>1799</v>
      </c>
      <c r="C44" s="502"/>
      <c r="D44" s="512"/>
      <c r="E44" s="512"/>
      <c r="F44" s="559"/>
      <c r="G44" s="556"/>
      <c r="H44" s="556"/>
      <c r="I44" s="556"/>
      <c r="J44" s="556"/>
      <c r="K44" s="556"/>
      <c r="L44" s="556"/>
      <c r="M44" s="556"/>
      <c r="N44" s="556"/>
    </row>
    <row r="45" spans="2:17" x14ac:dyDescent="0.25">
      <c r="B45" s="500" t="s">
        <v>1800</v>
      </c>
      <c r="C45" s="502"/>
      <c r="D45" s="507"/>
      <c r="E45" s="507"/>
      <c r="F45" s="508"/>
      <c r="G45" s="507"/>
      <c r="H45" s="507"/>
      <c r="I45" s="507"/>
      <c r="J45" s="507"/>
      <c r="K45" s="507"/>
      <c r="L45" s="507"/>
      <c r="M45" s="507"/>
      <c r="N45" s="507"/>
    </row>
    <row r="46" spans="2:17" x14ac:dyDescent="0.25">
      <c r="B46" s="509" t="s">
        <v>1801</v>
      </c>
      <c r="C46" s="510"/>
      <c r="D46" s="510"/>
      <c r="E46" s="510"/>
      <c r="F46" s="511"/>
      <c r="G46" s="466"/>
      <c r="H46" s="466"/>
      <c r="I46" s="466"/>
      <c r="J46" s="466"/>
      <c r="K46" s="466"/>
      <c r="L46" s="470"/>
      <c r="M46" s="556"/>
      <c r="N46" s="466"/>
    </row>
    <row r="47" spans="2:17" x14ac:dyDescent="0.25">
      <c r="B47" s="467"/>
      <c r="C47" s="467"/>
      <c r="D47" s="557"/>
      <c r="E47" s="557"/>
      <c r="F47" s="476"/>
      <c r="G47" s="503"/>
      <c r="H47" s="503"/>
      <c r="I47" s="503"/>
      <c r="J47" s="503"/>
      <c r="K47" s="503"/>
      <c r="L47" s="503"/>
      <c r="M47" s="503"/>
      <c r="N47" s="503"/>
    </row>
    <row r="48" spans="2:17" x14ac:dyDescent="0.25">
      <c r="B48" s="467"/>
      <c r="C48" s="466"/>
      <c r="D48" s="556"/>
      <c r="E48" s="556"/>
      <c r="F48" s="469"/>
      <c r="G48" s="466"/>
      <c r="H48" s="466"/>
      <c r="I48" s="466"/>
      <c r="J48" s="466"/>
      <c r="K48" s="466"/>
      <c r="L48" s="470"/>
      <c r="M48" s="556"/>
      <c r="N48" s="466"/>
    </row>
    <row r="49" spans="2:14" x14ac:dyDescent="0.25">
      <c r="B49" s="3882" t="s">
        <v>1802</v>
      </c>
      <c r="C49" s="3883"/>
      <c r="D49" s="3883"/>
      <c r="E49" s="3883"/>
      <c r="F49" s="3883"/>
      <c r="G49" s="507"/>
      <c r="H49" s="507"/>
      <c r="I49" s="507"/>
      <c r="J49" s="507"/>
      <c r="K49" s="507"/>
      <c r="L49" s="507"/>
      <c r="M49" s="507"/>
      <c r="N49" s="507"/>
    </row>
    <row r="50" spans="2:14" x14ac:dyDescent="0.25">
      <c r="B50" s="467"/>
      <c r="C50" s="466"/>
      <c r="D50" s="556"/>
      <c r="E50" s="556"/>
      <c r="F50" s="469"/>
      <c r="G50" s="466"/>
      <c r="H50" s="466"/>
      <c r="I50" s="466"/>
      <c r="J50" s="466"/>
      <c r="K50" s="466"/>
      <c r="L50" s="470"/>
      <c r="M50" s="556"/>
      <c r="N50" s="466"/>
    </row>
    <row r="51" spans="2:14" x14ac:dyDescent="0.25">
      <c r="B51" s="467"/>
      <c r="C51" s="466"/>
      <c r="D51" s="556"/>
      <c r="E51" s="556"/>
      <c r="F51" s="469"/>
      <c r="G51" s="466"/>
      <c r="H51" s="466"/>
      <c r="I51" s="466"/>
      <c r="J51" s="466"/>
      <c r="K51" s="466"/>
      <c r="L51" s="470"/>
      <c r="M51" s="556"/>
      <c r="N51" s="466"/>
    </row>
    <row r="52" spans="2:14" x14ac:dyDescent="0.25">
      <c r="B52" s="3903" t="s">
        <v>177</v>
      </c>
      <c r="C52" s="3904"/>
      <c r="D52" s="3904"/>
      <c r="E52" s="3904"/>
      <c r="F52" s="3904"/>
      <c r="G52" s="3904"/>
      <c r="H52" s="3904"/>
      <c r="I52" s="3904"/>
      <c r="J52" s="3904"/>
      <c r="K52" s="3904"/>
      <c r="L52" s="3904"/>
      <c r="M52" s="3904"/>
      <c r="N52" s="3905"/>
    </row>
    <row r="53" spans="2:14" x14ac:dyDescent="0.25">
      <c r="B53" s="504"/>
      <c r="C53" s="504"/>
      <c r="D53" s="504"/>
      <c r="E53" s="504"/>
      <c r="F53" s="473"/>
      <c r="G53" s="504"/>
      <c r="H53" s="504"/>
      <c r="I53" s="504"/>
      <c r="J53" s="504"/>
      <c r="K53" s="504"/>
      <c r="L53" s="474"/>
      <c r="M53" s="504"/>
      <c r="N53" s="504"/>
    </row>
    <row r="54" spans="2:14" x14ac:dyDescent="0.25">
      <c r="B54" s="3882" t="s">
        <v>1803</v>
      </c>
      <c r="C54" s="3883"/>
      <c r="D54" s="3883"/>
      <c r="E54" s="3883"/>
      <c r="F54" s="3883"/>
      <c r="G54" s="3883"/>
      <c r="H54" s="3883"/>
      <c r="I54" s="3883"/>
      <c r="J54" s="3883"/>
      <c r="K54" s="501"/>
      <c r="L54" s="501"/>
      <c r="M54" s="501"/>
      <c r="N54" s="501"/>
    </row>
    <row r="55" spans="2:14" x14ac:dyDescent="0.25">
      <c r="B55" s="3884" t="s">
        <v>1804</v>
      </c>
      <c r="C55" s="3885"/>
      <c r="D55" s="3885"/>
      <c r="E55" s="3885"/>
      <c r="F55" s="3885"/>
      <c r="G55" s="3885"/>
      <c r="H55" s="3885"/>
      <c r="I55" s="3885"/>
      <c r="J55" s="3885"/>
      <c r="K55" s="3885"/>
      <c r="L55" s="556"/>
      <c r="M55" s="556"/>
      <c r="N55" s="556"/>
    </row>
    <row r="56" spans="2:14" x14ac:dyDescent="0.25">
      <c r="B56" s="475"/>
      <c r="C56" s="466"/>
      <c r="D56" s="556"/>
      <c r="E56" s="556"/>
      <c r="F56" s="469"/>
      <c r="G56" s="466"/>
      <c r="H56" s="466"/>
      <c r="I56" s="466"/>
      <c r="J56" s="466"/>
      <c r="K56" s="466"/>
      <c r="L56" s="470"/>
      <c r="M56" s="556"/>
      <c r="N56" s="466"/>
    </row>
    <row r="57" spans="2:14" x14ac:dyDescent="0.25">
      <c r="B57" s="3886" t="s">
        <v>1805</v>
      </c>
      <c r="C57" s="3887"/>
      <c r="D57" s="3887"/>
      <c r="E57" s="3887"/>
      <c r="F57" s="3887"/>
      <c r="G57" s="3887"/>
      <c r="H57" s="499"/>
      <c r="I57" s="499"/>
      <c r="J57" s="499"/>
      <c r="K57" s="499"/>
      <c r="L57" s="499"/>
      <c r="M57" s="499"/>
      <c r="N57" s="499"/>
    </row>
    <row r="58" spans="2:14" x14ac:dyDescent="0.25">
      <c r="B58" s="467"/>
      <c r="C58" s="466"/>
      <c r="D58" s="556"/>
      <c r="E58" s="556"/>
      <c r="F58" s="469"/>
      <c r="G58" s="466"/>
      <c r="H58" s="466"/>
      <c r="I58" s="466"/>
      <c r="J58" s="466"/>
      <c r="K58" s="466"/>
      <c r="L58" s="470"/>
      <c r="M58" s="556"/>
      <c r="N58" s="466"/>
    </row>
    <row r="59" spans="2:14" x14ac:dyDescent="0.25">
      <c r="B59" s="467"/>
      <c r="C59" s="466"/>
      <c r="D59" s="556"/>
      <c r="E59" s="556"/>
      <c r="F59" s="469"/>
      <c r="G59" s="466"/>
      <c r="H59" s="466"/>
      <c r="I59" s="466"/>
      <c r="J59" s="466"/>
      <c r="K59" s="466"/>
      <c r="L59" s="470"/>
      <c r="M59" s="556"/>
      <c r="N59" s="466"/>
    </row>
    <row r="60" spans="2:14" ht="14.4" thickBot="1" x14ac:dyDescent="0.3">
      <c r="B60" s="467"/>
      <c r="C60" s="466"/>
      <c r="D60" s="556"/>
      <c r="E60" s="556"/>
      <c r="F60" s="469"/>
      <c r="G60" s="466"/>
      <c r="H60" s="466"/>
      <c r="I60" s="466"/>
      <c r="J60" s="466"/>
      <c r="K60" s="466"/>
      <c r="L60" s="470"/>
      <c r="M60" s="556"/>
      <c r="N60" s="466"/>
    </row>
    <row r="61" spans="2:14" x14ac:dyDescent="0.25">
      <c r="B61" s="548" t="s">
        <v>2031</v>
      </c>
      <c r="C61" s="549"/>
      <c r="D61" s="550"/>
      <c r="E61" s="550"/>
      <c r="F61" s="551"/>
      <c r="G61" s="466"/>
      <c r="H61" s="466"/>
      <c r="I61" s="466"/>
      <c r="J61" s="466"/>
      <c r="K61" s="466"/>
      <c r="L61" s="470"/>
      <c r="M61" s="556"/>
      <c r="N61" s="466"/>
    </row>
    <row r="62" spans="2:14" x14ac:dyDescent="0.25">
      <c r="B62" s="3888" t="s">
        <v>2042</v>
      </c>
      <c r="C62" s="3889"/>
      <c r="D62" s="3889"/>
      <c r="E62" s="3889"/>
      <c r="F62" s="552"/>
      <c r="G62" s="466"/>
      <c r="H62" s="466"/>
      <c r="I62" s="466"/>
      <c r="J62" s="466"/>
      <c r="K62" s="466"/>
      <c r="L62" s="470"/>
      <c r="M62" s="556"/>
      <c r="N62" s="466"/>
    </row>
    <row r="63" spans="2:14" x14ac:dyDescent="0.25">
      <c r="B63" s="59"/>
      <c r="C63" s="466"/>
      <c r="D63" s="556"/>
      <c r="E63" s="556"/>
      <c r="F63" s="552"/>
      <c r="G63" s="466"/>
      <c r="H63" s="466"/>
      <c r="I63" s="466"/>
      <c r="J63" s="466"/>
      <c r="K63" s="466"/>
      <c r="L63" s="470"/>
      <c r="M63" s="556"/>
      <c r="N63" s="466"/>
    </row>
    <row r="64" spans="2:14" x14ac:dyDescent="0.25">
      <c r="B64" s="59" t="s">
        <v>2032</v>
      </c>
      <c r="C64" s="466"/>
      <c r="D64" s="556"/>
      <c r="E64" s="556"/>
      <c r="F64" s="552"/>
      <c r="G64" s="466"/>
      <c r="H64" s="466"/>
      <c r="I64" s="466"/>
      <c r="J64" s="466"/>
      <c r="K64" s="466"/>
      <c r="L64" s="470"/>
      <c r="M64" s="556"/>
      <c r="N64" s="466"/>
    </row>
    <row r="65" spans="2:14" x14ac:dyDescent="0.25">
      <c r="B65" s="59" t="s">
        <v>2033</v>
      </c>
      <c r="C65" s="466"/>
      <c r="D65" s="556"/>
      <c r="E65" s="556"/>
      <c r="F65" s="552"/>
      <c r="G65" s="466"/>
      <c r="H65" s="466"/>
      <c r="I65" s="466"/>
      <c r="J65" s="466"/>
      <c r="K65" s="466"/>
      <c r="L65" s="470"/>
      <c r="M65" s="556"/>
      <c r="N65" s="466"/>
    </row>
    <row r="66" spans="2:14" x14ac:dyDescent="0.25">
      <c r="B66" s="59" t="s">
        <v>2034</v>
      </c>
      <c r="C66" s="466"/>
      <c r="D66" s="556"/>
      <c r="E66" s="556"/>
      <c r="F66" s="552"/>
      <c r="G66" s="466"/>
      <c r="H66" s="466"/>
      <c r="I66" s="466"/>
      <c r="J66" s="466"/>
      <c r="K66" s="466"/>
      <c r="L66" s="470"/>
      <c r="M66" s="556"/>
      <c r="N66" s="466"/>
    </row>
    <row r="67" spans="2:14" x14ac:dyDescent="0.25">
      <c r="B67" s="59" t="s">
        <v>2035</v>
      </c>
      <c r="C67" s="466"/>
      <c r="D67" s="556"/>
      <c r="E67" s="556"/>
      <c r="F67" s="552"/>
      <c r="G67" s="466"/>
      <c r="H67" s="466"/>
      <c r="I67" s="466"/>
      <c r="J67" s="466"/>
      <c r="K67" s="466"/>
      <c r="L67" s="470"/>
      <c r="M67" s="556"/>
      <c r="N67" s="466"/>
    </row>
    <row r="68" spans="2:14" x14ac:dyDescent="0.25">
      <c r="B68" s="59" t="s">
        <v>2036</v>
      </c>
      <c r="C68" s="466"/>
      <c r="D68" s="556"/>
      <c r="E68" s="556"/>
      <c r="F68" s="552"/>
      <c r="G68" s="466"/>
      <c r="H68" s="466"/>
      <c r="I68" s="466"/>
      <c r="J68" s="466"/>
      <c r="K68" s="466"/>
      <c r="L68" s="470"/>
      <c r="M68" s="556"/>
      <c r="N68" s="466"/>
    </row>
    <row r="69" spans="2:14" x14ac:dyDescent="0.25">
      <c r="B69" s="59" t="s">
        <v>2037</v>
      </c>
      <c r="C69" s="466"/>
      <c r="D69" s="556"/>
      <c r="E69" s="556"/>
      <c r="F69" s="552"/>
      <c r="G69" s="466"/>
      <c r="H69" s="466"/>
      <c r="I69" s="466"/>
      <c r="J69" s="466"/>
      <c r="K69" s="466"/>
      <c r="L69" s="470"/>
      <c r="M69" s="556"/>
      <c r="N69" s="466"/>
    </row>
    <row r="70" spans="2:14" x14ac:dyDescent="0.25">
      <c r="B70" s="59" t="s">
        <v>2038</v>
      </c>
      <c r="C70" s="466"/>
      <c r="D70" s="556"/>
      <c r="E70" s="556"/>
      <c r="F70" s="552"/>
      <c r="G70" s="466"/>
      <c r="H70" s="466"/>
      <c r="I70" s="466"/>
      <c r="J70" s="466"/>
      <c r="K70" s="466"/>
      <c r="L70" s="470"/>
      <c r="M70" s="556"/>
      <c r="N70" s="466"/>
    </row>
    <row r="71" spans="2:14" x14ac:dyDescent="0.25">
      <c r="B71" s="59" t="s">
        <v>2039</v>
      </c>
      <c r="C71" s="466"/>
      <c r="D71" s="556"/>
      <c r="E71" s="556"/>
      <c r="F71" s="552"/>
      <c r="G71" s="466"/>
      <c r="H71" s="466"/>
      <c r="I71" s="466"/>
      <c r="J71" s="466"/>
      <c r="K71" s="466"/>
      <c r="L71" s="470"/>
      <c r="M71" s="556"/>
      <c r="N71" s="466"/>
    </row>
    <row r="72" spans="2:14" x14ac:dyDescent="0.25">
      <c r="B72" s="59"/>
      <c r="C72" s="466"/>
      <c r="D72" s="556"/>
      <c r="E72" s="556"/>
      <c r="F72" s="552"/>
      <c r="G72" s="466"/>
      <c r="H72" s="466"/>
      <c r="I72" s="466"/>
      <c r="J72" s="466"/>
      <c r="K72" s="466"/>
      <c r="L72" s="470"/>
      <c r="M72" s="556"/>
      <c r="N72" s="466"/>
    </row>
    <row r="73" spans="2:14" x14ac:dyDescent="0.25">
      <c r="B73" s="59" t="s">
        <v>2040</v>
      </c>
      <c r="C73" s="466"/>
      <c r="D73" s="556"/>
      <c r="E73" s="556"/>
      <c r="F73" s="552"/>
      <c r="G73" s="466"/>
      <c r="H73" s="466"/>
      <c r="I73" s="466"/>
      <c r="J73" s="466"/>
      <c r="K73" s="466"/>
      <c r="L73" s="470"/>
      <c r="M73" s="556"/>
      <c r="N73" s="466"/>
    </row>
    <row r="74" spans="2:14" x14ac:dyDescent="0.25">
      <c r="B74" s="59"/>
      <c r="C74" s="466"/>
      <c r="D74" s="556"/>
      <c r="E74" s="556"/>
      <c r="F74" s="552"/>
      <c r="G74" s="466"/>
      <c r="H74" s="466"/>
      <c r="I74" s="466"/>
      <c r="J74" s="466"/>
      <c r="K74" s="466"/>
      <c r="L74" s="470"/>
      <c r="M74" s="556"/>
      <c r="N74" s="466"/>
    </row>
    <row r="75" spans="2:14" ht="14.4" thickBot="1" x14ac:dyDescent="0.3">
      <c r="B75" s="58" t="s">
        <v>2041</v>
      </c>
      <c r="C75" s="553"/>
      <c r="D75" s="554"/>
      <c r="E75" s="554"/>
      <c r="F75" s="555"/>
      <c r="G75" s="466"/>
      <c r="H75" s="466"/>
      <c r="I75" s="466"/>
      <c r="J75" s="466"/>
      <c r="K75" s="466"/>
      <c r="L75" s="470"/>
      <c r="M75" s="556"/>
      <c r="N75" s="466"/>
    </row>
    <row r="76" spans="2:14" x14ac:dyDescent="0.25">
      <c r="B76" s="467"/>
      <c r="C76" s="466"/>
      <c r="D76" s="556"/>
      <c r="E76" s="556"/>
      <c r="F76" s="469"/>
      <c r="G76" s="466"/>
      <c r="H76" s="466"/>
      <c r="I76" s="466"/>
      <c r="J76" s="466"/>
      <c r="K76" s="466"/>
      <c r="L76" s="470"/>
      <c r="M76" s="556"/>
      <c r="N76" s="466"/>
    </row>
  </sheetData>
  <mergeCells count="25">
    <mergeCell ref="I10:S10"/>
    <mergeCell ref="M31:Q31"/>
    <mergeCell ref="M32:Q32"/>
    <mergeCell ref="M33:Q33"/>
    <mergeCell ref="M34:Q34"/>
    <mergeCell ref="M27:Q27"/>
    <mergeCell ref="M28:Q28"/>
    <mergeCell ref="M29:Q29"/>
    <mergeCell ref="M30:Q30"/>
    <mergeCell ref="B54:J54"/>
    <mergeCell ref="B55:K55"/>
    <mergeCell ref="B57:G57"/>
    <mergeCell ref="B62:E62"/>
    <mergeCell ref="I6:R6"/>
    <mergeCell ref="I7:R7"/>
    <mergeCell ref="B6:G6"/>
    <mergeCell ref="M35:Q35"/>
    <mergeCell ref="M36:Q36"/>
    <mergeCell ref="M37:Q37"/>
    <mergeCell ref="B27:E27"/>
    <mergeCell ref="B29:F29"/>
    <mergeCell ref="B32:H32"/>
    <mergeCell ref="B49:F49"/>
    <mergeCell ref="B52:N52"/>
    <mergeCell ref="M38:Q3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P104"/>
  <sheetViews>
    <sheetView topLeftCell="A56" zoomScale="85" zoomScaleNormal="85" workbookViewId="0">
      <selection activeCell="F66" sqref="F66"/>
    </sheetView>
  </sheetViews>
  <sheetFormatPr baseColWidth="10" defaultColWidth="11.5546875" defaultRowHeight="17.399999999999999" x14ac:dyDescent="0.25"/>
  <cols>
    <col min="1" max="1" width="1.6640625" style="2110" customWidth="1"/>
    <col min="2" max="2" width="5.33203125" style="3308" customWidth="1"/>
    <col min="3" max="3" width="7" style="2111" customWidth="1"/>
    <col min="4" max="4" width="47.6640625" style="2110" customWidth="1"/>
    <col min="5" max="5" width="5.88671875" style="3367" customWidth="1"/>
    <col min="6" max="6" width="16.44140625" style="2112" customWidth="1"/>
    <col min="7" max="7" width="1.33203125" style="2110" customWidth="1"/>
    <col min="8" max="8" width="6.44140625" style="2368" customWidth="1"/>
    <col min="9" max="9" width="8.109375" style="2368" customWidth="1"/>
    <col min="10" max="10" width="53.44140625" style="2110" customWidth="1"/>
    <col min="11" max="11" width="5.33203125" style="3260" customWidth="1"/>
    <col min="12" max="12" width="17.77734375" style="2112" customWidth="1"/>
    <col min="13" max="16384" width="11.5546875" style="2110"/>
  </cols>
  <sheetData>
    <row r="1" spans="1:12" ht="18" thickBot="1" x14ac:dyDescent="0.3"/>
    <row r="2" spans="1:12" ht="27" customHeight="1" thickTop="1" thickBot="1" x14ac:dyDescent="0.45">
      <c r="A2" s="2113"/>
      <c r="B2" s="3913" t="s">
        <v>2487</v>
      </c>
      <c r="C2" s="3914"/>
      <c r="D2" s="3914"/>
      <c r="E2" s="3815">
        <v>10</v>
      </c>
      <c r="F2" s="3924"/>
      <c r="G2" s="3924"/>
      <c r="H2" s="3924"/>
      <c r="I2" s="3696"/>
      <c r="J2" s="3697" t="s">
        <v>2488</v>
      </c>
      <c r="K2" s="3687"/>
      <c r="L2" s="3688"/>
    </row>
    <row r="3" spans="1:12" ht="18" thickTop="1" x14ac:dyDescent="0.3">
      <c r="A3" s="2113"/>
      <c r="B3" s="3309"/>
      <c r="C3" s="2114"/>
      <c r="D3" s="2115" t="s">
        <v>2166</v>
      </c>
      <c r="E3" s="3368"/>
      <c r="F3" s="2291" t="s">
        <v>1</v>
      </c>
      <c r="G3" s="2116"/>
      <c r="H3" s="2369"/>
      <c r="I3" s="2369"/>
      <c r="J3" s="2115" t="s">
        <v>2167</v>
      </c>
      <c r="K3" s="3214"/>
      <c r="L3" s="2292" t="s">
        <v>1</v>
      </c>
    </row>
    <row r="4" spans="1:12" ht="18" x14ac:dyDescent="0.3">
      <c r="A4" s="2113"/>
      <c r="B4" s="3310"/>
      <c r="C4" s="2367" t="s">
        <v>5</v>
      </c>
      <c r="D4" s="2117"/>
      <c r="E4" s="3369"/>
      <c r="G4" s="2117"/>
      <c r="H4" s="2364" t="s">
        <v>5</v>
      </c>
      <c r="I4" s="3909" t="s">
        <v>2165</v>
      </c>
      <c r="J4" s="3910"/>
      <c r="K4" s="3265"/>
    </row>
    <row r="5" spans="1:12" ht="18" thickBot="1" x14ac:dyDescent="0.35">
      <c r="A5" s="2113"/>
      <c r="B5" s="3311"/>
      <c r="C5" s="2293" t="s">
        <v>2232</v>
      </c>
      <c r="D5" s="2354" t="s">
        <v>2260</v>
      </c>
      <c r="E5" s="3370"/>
      <c r="F5" s="2348">
        <f>SUM(F6,F8,F10,F36)</f>
        <v>92500</v>
      </c>
      <c r="G5" s="2117"/>
      <c r="H5" s="2416"/>
      <c r="I5" s="3918" t="s">
        <v>2263</v>
      </c>
      <c r="J5" s="3919"/>
      <c r="K5" s="3336"/>
      <c r="L5" s="3340"/>
    </row>
    <row r="6" spans="1:12" ht="18.600000000000001" thickTop="1" thickBot="1" x14ac:dyDescent="0.35">
      <c r="A6" s="2113"/>
      <c r="B6" s="3236" t="s">
        <v>1704</v>
      </c>
      <c r="C6" s="2296">
        <v>20</v>
      </c>
      <c r="D6" s="2297" t="s">
        <v>2257</v>
      </c>
      <c r="E6" s="3371" t="s">
        <v>1704</v>
      </c>
      <c r="F6" s="2355">
        <f>SUM(F7)</f>
        <v>0</v>
      </c>
      <c r="G6" s="2148"/>
      <c r="H6" s="3337" t="s">
        <v>1704</v>
      </c>
      <c r="I6" s="3338">
        <v>10</v>
      </c>
      <c r="J6" s="2317" t="s">
        <v>225</v>
      </c>
      <c r="K6" s="3264" t="s">
        <v>1704</v>
      </c>
      <c r="L6" s="3339">
        <f>SUM(F88,-L26)</f>
        <v>138600</v>
      </c>
    </row>
    <row r="7" spans="1:12" ht="21.6" thickTop="1" thickBot="1" x14ac:dyDescent="0.4">
      <c r="A7" s="2113"/>
      <c r="B7" s="2293"/>
      <c r="C7" s="2293"/>
      <c r="D7" s="2805" t="s">
        <v>2280</v>
      </c>
      <c r="E7" s="3504">
        <v>0</v>
      </c>
      <c r="F7" s="2440"/>
      <c r="G7" s="2148"/>
      <c r="H7" s="3218"/>
      <c r="I7" s="2393"/>
      <c r="J7" s="2284"/>
      <c r="K7" s="3259"/>
      <c r="L7" s="3219"/>
    </row>
    <row r="8" spans="1:12" ht="19.2" thickTop="1" thickBot="1" x14ac:dyDescent="0.4">
      <c r="A8" s="2113"/>
      <c r="B8" s="3236" t="s">
        <v>2233</v>
      </c>
      <c r="C8" s="2296">
        <v>21</v>
      </c>
      <c r="D8" s="2297" t="s">
        <v>2258</v>
      </c>
      <c r="E8" s="3371" t="s">
        <v>2233</v>
      </c>
      <c r="F8" s="2355">
        <f>SUM(F9)</f>
        <v>0</v>
      </c>
      <c r="G8" s="2148"/>
      <c r="H8" s="3241" t="s">
        <v>39</v>
      </c>
      <c r="I8" s="2409">
        <v>100</v>
      </c>
      <c r="J8" s="2441" t="s">
        <v>1493</v>
      </c>
      <c r="K8" s="3261" t="s">
        <v>39</v>
      </c>
      <c r="L8" s="2442"/>
    </row>
    <row r="9" spans="1:12" ht="19.8" thickTop="1" thickBot="1" x14ac:dyDescent="0.45">
      <c r="A9" s="2113"/>
      <c r="B9" s="2293"/>
      <c r="C9" s="2293"/>
      <c r="D9" s="2439" t="s">
        <v>2281</v>
      </c>
      <c r="E9" s="3504">
        <v>0</v>
      </c>
      <c r="F9" s="2440"/>
      <c r="G9" s="2148"/>
      <c r="H9" s="3240" t="s">
        <v>40</v>
      </c>
      <c r="I9" s="2407">
        <v>101</v>
      </c>
      <c r="J9" s="2408" t="s">
        <v>1492</v>
      </c>
      <c r="K9" s="3214" t="s">
        <v>40</v>
      </c>
      <c r="L9" s="2384">
        <v>0</v>
      </c>
    </row>
    <row r="10" spans="1:12" ht="19.2" thickTop="1" thickBot="1" x14ac:dyDescent="0.4">
      <c r="A10" s="2113"/>
      <c r="B10" s="3246" t="s">
        <v>1695</v>
      </c>
      <c r="C10" s="2298" t="s">
        <v>2193</v>
      </c>
      <c r="D10" s="2299" t="s">
        <v>2259</v>
      </c>
      <c r="E10" s="3372" t="s">
        <v>1695</v>
      </c>
      <c r="F10" s="2300">
        <f>SUM(F11,F15,F21,F27,F30,F33)</f>
        <v>92500</v>
      </c>
      <c r="G10" s="2118"/>
      <c r="H10" s="3341"/>
      <c r="I10" s="3341"/>
      <c r="J10" s="3342"/>
      <c r="K10" s="3517">
        <v>0</v>
      </c>
      <c r="L10" s="3414"/>
    </row>
    <row r="11" spans="1:12" ht="22.2" thickTop="1" thickBot="1" x14ac:dyDescent="0.65">
      <c r="A11" s="2113"/>
      <c r="B11" s="3239" t="s">
        <v>39</v>
      </c>
      <c r="C11" s="2301">
        <v>22</v>
      </c>
      <c r="D11" s="2302" t="s">
        <v>1548</v>
      </c>
      <c r="E11" s="3373" t="s">
        <v>39</v>
      </c>
      <c r="F11" s="2303">
        <f>SUM(F12,F13,F14)</f>
        <v>75000</v>
      </c>
      <c r="G11" s="2148"/>
      <c r="H11" s="3247" t="s">
        <v>2233</v>
      </c>
      <c r="I11" s="2285">
        <v>11</v>
      </c>
      <c r="J11" s="2422" t="s">
        <v>2264</v>
      </c>
      <c r="K11" s="3263" t="s">
        <v>2233</v>
      </c>
      <c r="L11" s="2420">
        <f>SUM(L12)</f>
        <v>0</v>
      </c>
    </row>
    <row r="12" spans="1:12" ht="18.600000000000001" thickTop="1" thickBot="1" x14ac:dyDescent="0.35">
      <c r="A12" s="2113"/>
      <c r="B12" s="2309"/>
      <c r="C12" s="2310">
        <v>2210</v>
      </c>
      <c r="D12" s="3220" t="s">
        <v>2163</v>
      </c>
      <c r="E12" s="3515">
        <v>0</v>
      </c>
      <c r="F12" s="3816">
        <v>75000</v>
      </c>
      <c r="G12" s="2118"/>
      <c r="H12" s="3344"/>
      <c r="I12" s="3344"/>
      <c r="J12" s="3345"/>
      <c r="K12" s="3518">
        <v>0</v>
      </c>
      <c r="L12" s="3415"/>
    </row>
    <row r="13" spans="1:12" ht="18.600000000000001" x14ac:dyDescent="0.4">
      <c r="A13" s="2113"/>
      <c r="B13" s="2311"/>
      <c r="C13" s="2312">
        <v>2200</v>
      </c>
      <c r="D13" s="3221" t="s">
        <v>1712</v>
      </c>
      <c r="E13" s="3516">
        <v>0</v>
      </c>
      <c r="F13" s="2438"/>
      <c r="G13" s="2118"/>
      <c r="H13" s="3275" t="s">
        <v>1695</v>
      </c>
      <c r="I13" s="3276">
        <v>12</v>
      </c>
      <c r="J13" s="3277" t="s">
        <v>2265</v>
      </c>
      <c r="K13" s="3343" t="s">
        <v>1695</v>
      </c>
      <c r="L13" s="2421">
        <f>SUM(L14)</f>
        <v>0</v>
      </c>
    </row>
    <row r="14" spans="1:12" ht="18" thickBot="1" x14ac:dyDescent="0.3">
      <c r="A14" s="2113"/>
      <c r="B14" s="2333"/>
      <c r="C14" s="2334"/>
      <c r="D14" s="2335"/>
      <c r="E14" s="3374"/>
      <c r="F14" s="2336"/>
      <c r="G14" s="2118"/>
      <c r="H14" s="3353"/>
      <c r="I14" s="3353"/>
      <c r="J14" s="3354"/>
      <c r="K14" s="3519">
        <v>0</v>
      </c>
      <c r="L14" s="3416"/>
    </row>
    <row r="15" spans="1:12" ht="22.2" thickBot="1" x14ac:dyDescent="0.7">
      <c r="A15" s="2113"/>
      <c r="B15" s="3238" t="s">
        <v>40</v>
      </c>
      <c r="C15" s="2315">
        <v>23</v>
      </c>
      <c r="D15" s="2351" t="s">
        <v>1547</v>
      </c>
      <c r="E15" s="3375" t="s">
        <v>40</v>
      </c>
      <c r="F15" s="2306">
        <f>SUM(F16:F19)</f>
        <v>12500</v>
      </c>
      <c r="G15" s="2148"/>
      <c r="H15" s="3248" t="s">
        <v>2237</v>
      </c>
      <c r="I15" s="2318">
        <v>13</v>
      </c>
      <c r="J15" s="2410" t="s">
        <v>2266</v>
      </c>
      <c r="K15" s="3267" t="s">
        <v>2237</v>
      </c>
      <c r="L15" s="2421">
        <f>SUM(L16,L18,L21,L22)</f>
        <v>0</v>
      </c>
    </row>
    <row r="16" spans="1:12" ht="18" x14ac:dyDescent="0.35">
      <c r="A16" s="2113"/>
      <c r="B16" s="2313"/>
      <c r="C16" s="2314">
        <v>2300</v>
      </c>
      <c r="D16" s="3223" t="s">
        <v>2171</v>
      </c>
      <c r="E16" s="3514">
        <v>0</v>
      </c>
      <c r="F16" s="2436"/>
      <c r="G16" s="2123"/>
      <c r="H16" s="3242" t="s">
        <v>39</v>
      </c>
      <c r="I16" s="2387">
        <v>131</v>
      </c>
      <c r="J16" s="2411" t="s">
        <v>2267</v>
      </c>
      <c r="K16" s="3268" t="s">
        <v>39</v>
      </c>
      <c r="L16" s="3417"/>
    </row>
    <row r="17" spans="1:12" ht="18" thickBot="1" x14ac:dyDescent="0.3">
      <c r="A17" s="2113"/>
      <c r="B17" s="2307"/>
      <c r="C17" s="2308">
        <v>231</v>
      </c>
      <c r="D17" s="3222" t="s">
        <v>166</v>
      </c>
      <c r="E17" s="3500">
        <v>0</v>
      </c>
      <c r="F17" s="3835">
        <v>12500</v>
      </c>
      <c r="G17" s="2123"/>
      <c r="H17" s="2385"/>
      <c r="I17" s="2385"/>
      <c r="J17" s="2386"/>
      <c r="K17" s="3520">
        <v>0</v>
      </c>
      <c r="L17" s="3418"/>
    </row>
    <row r="18" spans="1:12" ht="18.600000000000001" x14ac:dyDescent="0.4">
      <c r="A18" s="2113"/>
      <c r="B18" s="2325"/>
      <c r="C18" s="2326"/>
      <c r="D18" s="2174"/>
      <c r="E18" s="3376"/>
      <c r="F18" s="2327"/>
      <c r="G18" s="2123"/>
      <c r="H18" s="3243" t="s">
        <v>40</v>
      </c>
      <c r="I18" s="2361"/>
      <c r="J18" s="2362" t="s">
        <v>1490</v>
      </c>
      <c r="K18" s="3269" t="s">
        <v>40</v>
      </c>
      <c r="L18" s="2420">
        <f>SUM(L19:L20)</f>
        <v>0</v>
      </c>
    </row>
    <row r="19" spans="1:12" x14ac:dyDescent="0.25">
      <c r="A19" s="2113"/>
      <c r="B19" s="2307"/>
      <c r="C19" s="2308">
        <v>237</v>
      </c>
      <c r="D19" s="3222" t="s">
        <v>14</v>
      </c>
      <c r="E19" s="3500">
        <v>0</v>
      </c>
      <c r="F19" s="2437"/>
      <c r="G19" s="2150"/>
      <c r="H19" s="2324"/>
      <c r="I19" s="2324">
        <v>1310</v>
      </c>
      <c r="J19" s="2363" t="s">
        <v>1489</v>
      </c>
      <c r="K19" s="3272">
        <v>0</v>
      </c>
      <c r="L19" s="3419"/>
    </row>
    <row r="20" spans="1:12" ht="18" thickBot="1" x14ac:dyDescent="0.3">
      <c r="A20" s="2113"/>
      <c r="B20" s="2337"/>
      <c r="C20" s="2349"/>
      <c r="D20" s="2282"/>
      <c r="E20" s="3377"/>
      <c r="F20" s="2350"/>
      <c r="G20" s="2150"/>
      <c r="H20" s="2383"/>
      <c r="I20" s="2383">
        <v>1311</v>
      </c>
      <c r="J20" s="2391" t="s">
        <v>1488</v>
      </c>
      <c r="K20" s="3521">
        <v>0</v>
      </c>
      <c r="L20" s="3420"/>
    </row>
    <row r="21" spans="1:12" ht="22.2" thickBot="1" x14ac:dyDescent="0.7">
      <c r="A21" s="2113"/>
      <c r="B21" s="3238" t="s">
        <v>52</v>
      </c>
      <c r="C21" s="2315">
        <v>24</v>
      </c>
      <c r="D21" s="2352" t="s">
        <v>2157</v>
      </c>
      <c r="E21" s="3378" t="s">
        <v>52</v>
      </c>
      <c r="F21" s="2306">
        <f>SUM(F22:F26)</f>
        <v>5000</v>
      </c>
      <c r="G21" s="2123"/>
      <c r="H21" s="3244" t="s">
        <v>52</v>
      </c>
      <c r="I21" s="2388">
        <v>132</v>
      </c>
      <c r="J21" s="2389" t="s">
        <v>1487</v>
      </c>
      <c r="K21" s="3270" t="s">
        <v>52</v>
      </c>
      <c r="L21" s="2390"/>
    </row>
    <row r="22" spans="1:12" ht="18.600000000000001" thickBot="1" x14ac:dyDescent="0.4">
      <c r="A22" s="2113"/>
      <c r="B22" s="3309"/>
      <c r="C22" s="2125">
        <v>240</v>
      </c>
      <c r="D22" s="3224" t="s">
        <v>2192</v>
      </c>
      <c r="E22" s="3499">
        <v>0</v>
      </c>
      <c r="F22" s="2435"/>
      <c r="G22" s="2123"/>
      <c r="H22" s="3348" t="s">
        <v>56</v>
      </c>
      <c r="I22" s="3349">
        <v>133</v>
      </c>
      <c r="J22" s="3350" t="s">
        <v>1486</v>
      </c>
      <c r="K22" s="3351"/>
      <c r="L22" s="3352"/>
    </row>
    <row r="23" spans="1:12" ht="18.600000000000001" x14ac:dyDescent="0.4">
      <c r="A23" s="2113"/>
      <c r="B23" s="3310"/>
      <c r="C23" s="2119"/>
      <c r="D23" s="3222" t="s">
        <v>167</v>
      </c>
      <c r="E23" s="3500">
        <v>0</v>
      </c>
      <c r="F23" s="3835">
        <v>5000</v>
      </c>
      <c r="G23" s="2150"/>
      <c r="H23" s="3275" t="s">
        <v>1705</v>
      </c>
      <c r="I23" s="3276">
        <v>140</v>
      </c>
      <c r="J23" s="3277" t="s">
        <v>1706</v>
      </c>
      <c r="K23" s="3278" t="s">
        <v>1643</v>
      </c>
      <c r="L23" s="3421">
        <f>SUM(L24)</f>
        <v>0</v>
      </c>
    </row>
    <row r="24" spans="1:12" ht="18.600000000000001" thickBot="1" x14ac:dyDescent="0.35">
      <c r="A24" s="2113"/>
      <c r="B24" s="3312"/>
      <c r="C24" s="2290"/>
      <c r="D24" s="2174" t="s">
        <v>2332</v>
      </c>
      <c r="E24" s="3513">
        <v>0</v>
      </c>
      <c r="F24" s="2616"/>
      <c r="G24" s="2150"/>
      <c r="H24" s="3346"/>
      <c r="I24" s="3346">
        <v>141</v>
      </c>
      <c r="J24" s="3347" t="s">
        <v>1484</v>
      </c>
      <c r="K24" s="3522">
        <v>0</v>
      </c>
      <c r="L24" s="3422"/>
    </row>
    <row r="25" spans="1:12" ht="18.600000000000001" thickBot="1" x14ac:dyDescent="0.4">
      <c r="A25" s="2113"/>
      <c r="B25" s="3312"/>
      <c r="C25" s="2290">
        <v>241</v>
      </c>
      <c r="D25" s="3226" t="s">
        <v>2330</v>
      </c>
      <c r="E25" s="3513">
        <v>0</v>
      </c>
      <c r="F25" s="3820"/>
      <c r="G25" s="2123"/>
      <c r="H25" s="3355" t="s">
        <v>1643</v>
      </c>
      <c r="I25" s="3356">
        <v>15</v>
      </c>
      <c r="J25" s="3357" t="s">
        <v>2268</v>
      </c>
      <c r="K25" s="3358" t="s">
        <v>1643</v>
      </c>
      <c r="L25" s="3359"/>
    </row>
    <row r="26" spans="1:12" ht="18.600000000000001" thickTop="1" thickBot="1" x14ac:dyDescent="0.35">
      <c r="A26" s="2113"/>
      <c r="B26" s="3313"/>
      <c r="C26" s="2283"/>
      <c r="D26" s="3225" t="s">
        <v>2331</v>
      </c>
      <c r="E26" s="3498">
        <v>0</v>
      </c>
      <c r="F26" s="3396"/>
      <c r="G26" s="2150"/>
      <c r="H26" s="2314"/>
      <c r="I26" s="2314"/>
      <c r="J26" s="3236" t="s">
        <v>2168</v>
      </c>
      <c r="K26" s="3214"/>
      <c r="L26" s="2419">
        <f>SUM(L29,L43)</f>
        <v>5750</v>
      </c>
    </row>
    <row r="27" spans="1:12" ht="21.6" thickBot="1" x14ac:dyDescent="0.65">
      <c r="A27" s="2113"/>
      <c r="B27" s="3238" t="s">
        <v>56</v>
      </c>
      <c r="C27" s="2315">
        <v>25</v>
      </c>
      <c r="D27" s="2316" t="s">
        <v>2234</v>
      </c>
      <c r="E27" s="3378" t="s">
        <v>56</v>
      </c>
      <c r="F27" s="2332">
        <f>SUM(F28:F29)</f>
        <v>0</v>
      </c>
      <c r="G27" s="2150"/>
      <c r="H27" s="2308"/>
      <c r="I27" s="3922" t="s">
        <v>2164</v>
      </c>
      <c r="J27" s="3923"/>
      <c r="K27" s="3265"/>
      <c r="L27" s="2120"/>
    </row>
    <row r="28" spans="1:12" ht="18.600000000000001" thickBot="1" x14ac:dyDescent="0.35">
      <c r="A28" s="2113"/>
      <c r="B28" s="3314"/>
      <c r="C28" s="2328"/>
      <c r="D28" s="2329"/>
      <c r="E28" s="3511">
        <v>0</v>
      </c>
      <c r="F28" s="3397"/>
      <c r="G28" s="2150"/>
      <c r="H28" s="2416"/>
      <c r="I28" s="2416"/>
      <c r="J28" s="2417"/>
      <c r="K28" s="3271"/>
      <c r="L28" s="2418"/>
    </row>
    <row r="29" spans="1:12" ht="22.2" thickTop="1" thickBot="1" x14ac:dyDescent="0.65">
      <c r="A29" s="2113"/>
      <c r="B29" s="3315"/>
      <c r="C29" s="2338"/>
      <c r="D29" s="2339"/>
      <c r="E29" s="3512">
        <v>0</v>
      </c>
      <c r="F29" s="3398"/>
      <c r="G29" s="2150"/>
      <c r="H29" s="3360" t="s">
        <v>1700</v>
      </c>
      <c r="I29" s="3361">
        <v>17</v>
      </c>
      <c r="J29" s="3362" t="s">
        <v>2181</v>
      </c>
      <c r="K29" s="3363" t="s">
        <v>1700</v>
      </c>
      <c r="L29" s="3279">
        <f>SUM(L30,L36,L39,L41)</f>
        <v>0</v>
      </c>
    </row>
    <row r="30" spans="1:12" ht="22.2" thickBot="1" x14ac:dyDescent="0.7">
      <c r="A30" s="2113"/>
      <c r="B30" s="2462" t="s">
        <v>59</v>
      </c>
      <c r="C30" s="2319">
        <v>26</v>
      </c>
      <c r="D30" s="2320" t="s">
        <v>2236</v>
      </c>
      <c r="E30" s="3379" t="s">
        <v>59</v>
      </c>
      <c r="F30" s="2306">
        <f>SUM(F31:F32)</f>
        <v>0</v>
      </c>
      <c r="G30" s="2123"/>
      <c r="H30" s="3234" t="s">
        <v>39</v>
      </c>
      <c r="I30" s="2379"/>
      <c r="J30" s="2149" t="s">
        <v>2176</v>
      </c>
      <c r="K30" s="3259" t="s">
        <v>39</v>
      </c>
      <c r="L30" s="3426">
        <f>SUM(L31:L35)</f>
        <v>0</v>
      </c>
    </row>
    <row r="31" spans="1:12" ht="18" thickTop="1" x14ac:dyDescent="0.3">
      <c r="A31" s="2113"/>
      <c r="B31" s="3316"/>
      <c r="C31" s="2277"/>
      <c r="D31" s="2278"/>
      <c r="E31" s="3507">
        <v>0</v>
      </c>
      <c r="F31" s="3399"/>
      <c r="G31" s="2150"/>
      <c r="H31" s="2370">
        <v>1</v>
      </c>
      <c r="I31" s="2370">
        <v>170</v>
      </c>
      <c r="J31" s="2847" t="s">
        <v>1469</v>
      </c>
      <c r="K31" s="3523">
        <v>0</v>
      </c>
      <c r="L31" s="3423"/>
    </row>
    <row r="32" spans="1:12" ht="18" thickBot="1" x14ac:dyDescent="0.35">
      <c r="A32" s="2113"/>
      <c r="B32" s="3317"/>
      <c r="C32" s="2340"/>
      <c r="D32" s="2341"/>
      <c r="E32" s="3510">
        <v>0</v>
      </c>
      <c r="F32" s="3400"/>
      <c r="G32" s="2150"/>
      <c r="H32" s="2372">
        <v>2</v>
      </c>
      <c r="I32" s="2372">
        <v>171</v>
      </c>
      <c r="J32" s="2392"/>
      <c r="K32" s="3272">
        <v>0</v>
      </c>
      <c r="L32" s="3424"/>
    </row>
    <row r="33" spans="1:13" ht="21.6" thickBot="1" x14ac:dyDescent="0.65">
      <c r="A33" s="2113"/>
      <c r="B33" s="2462" t="s">
        <v>64</v>
      </c>
      <c r="C33" s="2319">
        <v>27</v>
      </c>
      <c r="D33" s="2320" t="s">
        <v>2235</v>
      </c>
      <c r="E33" s="3379" t="s">
        <v>64</v>
      </c>
      <c r="F33" s="2332">
        <f>SUM(F34:F35)</f>
        <v>0</v>
      </c>
      <c r="G33" s="2126"/>
      <c r="H33" s="2372">
        <v>3</v>
      </c>
      <c r="I33" s="2372">
        <v>172</v>
      </c>
      <c r="J33" s="2392"/>
      <c r="K33" s="3272">
        <v>0</v>
      </c>
      <c r="L33" s="3424"/>
    </row>
    <row r="34" spans="1:13" ht="18.600000000000001" thickTop="1" x14ac:dyDescent="0.35">
      <c r="A34" s="2113"/>
      <c r="B34" s="3237"/>
      <c r="C34" s="2319"/>
      <c r="D34" s="2320"/>
      <c r="E34" s="3508">
        <v>0</v>
      </c>
      <c r="F34" s="3401"/>
      <c r="G34" s="2151"/>
      <c r="H34" s="2370">
        <v>4</v>
      </c>
      <c r="I34" s="2370">
        <v>173</v>
      </c>
      <c r="J34" s="3853" t="s">
        <v>2466</v>
      </c>
      <c r="K34" s="3272">
        <v>0</v>
      </c>
      <c r="L34" s="3424">
        <v>0</v>
      </c>
    </row>
    <row r="35" spans="1:13" ht="18.600000000000001" thickBot="1" x14ac:dyDescent="0.4">
      <c r="A35" s="2113"/>
      <c r="B35" s="3318"/>
      <c r="C35" s="2322"/>
      <c r="D35" s="2323"/>
      <c r="E35" s="3509">
        <v>0</v>
      </c>
      <c r="F35" s="3402"/>
      <c r="G35" s="2151"/>
      <c r="H35" s="2371">
        <v>5</v>
      </c>
      <c r="I35" s="2371">
        <v>174</v>
      </c>
      <c r="J35" s="3854" t="s">
        <v>2498</v>
      </c>
      <c r="K35" s="3524">
        <v>0</v>
      </c>
      <c r="L35" s="3429">
        <v>0</v>
      </c>
    </row>
    <row r="36" spans="1:13" ht="19.8" thickTop="1" thickBot="1" x14ac:dyDescent="0.45">
      <c r="A36" s="2113"/>
      <c r="B36" s="3250" t="s">
        <v>2237</v>
      </c>
      <c r="C36" s="2318"/>
      <c r="D36" s="2317" t="s">
        <v>2238</v>
      </c>
      <c r="E36" s="3381" t="s">
        <v>2237</v>
      </c>
      <c r="F36" s="3280">
        <f>SUM(F37,F41,F45)</f>
        <v>0</v>
      </c>
      <c r="G36" s="2126"/>
      <c r="H36" s="3234" t="s">
        <v>40</v>
      </c>
      <c r="I36" s="2379"/>
      <c r="J36" s="3599" t="s">
        <v>2463</v>
      </c>
      <c r="K36" s="3259" t="s">
        <v>40</v>
      </c>
      <c r="L36" s="3426">
        <f>SUM(L37:L38)</f>
        <v>0</v>
      </c>
    </row>
    <row r="37" spans="1:13" ht="22.2" thickTop="1" thickBot="1" x14ac:dyDescent="0.65">
      <c r="A37" s="2113"/>
      <c r="B37" s="3319" t="s">
        <v>39</v>
      </c>
      <c r="C37" s="2343"/>
      <c r="D37" s="2344" t="s">
        <v>1541</v>
      </c>
      <c r="E37" s="3380" t="s">
        <v>39</v>
      </c>
      <c r="F37" s="2303">
        <f>SUM(F38:F40)</f>
        <v>0</v>
      </c>
      <c r="G37" s="2126"/>
      <c r="H37" s="2370">
        <v>1</v>
      </c>
      <c r="I37" s="2370">
        <v>1750</v>
      </c>
      <c r="J37" s="3231" t="s">
        <v>2370</v>
      </c>
      <c r="K37" s="3523">
        <v>0</v>
      </c>
      <c r="L37" s="3427"/>
    </row>
    <row r="38" spans="1:13" ht="18.600000000000001" thickTop="1" thickBot="1" x14ac:dyDescent="0.35">
      <c r="A38" s="2113"/>
      <c r="B38" s="3316"/>
      <c r="C38" s="2277">
        <v>280</v>
      </c>
      <c r="D38" s="2280" t="s">
        <v>1537</v>
      </c>
      <c r="E38" s="3507">
        <v>0</v>
      </c>
      <c r="F38" s="3399"/>
      <c r="G38" s="2151"/>
      <c r="H38" s="2371">
        <v>2</v>
      </c>
      <c r="I38" s="2371">
        <v>1751</v>
      </c>
      <c r="J38" s="3428" t="s">
        <v>2269</v>
      </c>
      <c r="K38" s="3524">
        <v>0</v>
      </c>
      <c r="L38" s="3429"/>
    </row>
    <row r="39" spans="1:13" ht="18.600000000000001" x14ac:dyDescent="0.4">
      <c r="A39" s="2113"/>
      <c r="B39" s="3316"/>
      <c r="C39" s="2304">
        <v>281</v>
      </c>
      <c r="D39" s="2330" t="s">
        <v>2239</v>
      </c>
      <c r="E39" s="3507">
        <v>0</v>
      </c>
      <c r="F39" s="3399"/>
      <c r="G39" s="2151"/>
      <c r="H39" s="3245" t="s">
        <v>52</v>
      </c>
      <c r="I39" s="2393">
        <v>176</v>
      </c>
      <c r="J39" s="2394" t="s">
        <v>1448</v>
      </c>
      <c r="K39" s="3263" t="s">
        <v>52</v>
      </c>
      <c r="L39" s="3431">
        <f>SUM(L40)</f>
        <v>0</v>
      </c>
    </row>
    <row r="40" spans="1:13" ht="18" thickBot="1" x14ac:dyDescent="0.3">
      <c r="A40" s="2113"/>
      <c r="B40" s="3313"/>
      <c r="C40" s="2331"/>
      <c r="D40" s="2289"/>
      <c r="E40" s="3498">
        <v>0</v>
      </c>
      <c r="F40" s="3403"/>
      <c r="G40" s="2151"/>
      <c r="H40" s="3364"/>
      <c r="I40" s="3365"/>
      <c r="J40" s="3366"/>
      <c r="K40" s="3518">
        <v>0</v>
      </c>
      <c r="L40" s="3430"/>
    </row>
    <row r="41" spans="1:13" ht="22.8" thickTop="1" thickBot="1" x14ac:dyDescent="0.7">
      <c r="A41" s="2113"/>
      <c r="B41" s="3320" t="s">
        <v>40</v>
      </c>
      <c r="C41" s="3911" t="s">
        <v>2240</v>
      </c>
      <c r="D41" s="3912"/>
      <c r="E41" s="3383" t="s">
        <v>40</v>
      </c>
      <c r="F41" s="2321">
        <f>SUM(F42:F44)</f>
        <v>0</v>
      </c>
      <c r="H41" s="3245" t="s">
        <v>56</v>
      </c>
      <c r="I41" s="2393" t="s">
        <v>2270</v>
      </c>
      <c r="J41" s="2394" t="s">
        <v>1438</v>
      </c>
      <c r="K41" s="3214" t="s">
        <v>56</v>
      </c>
      <c r="L41" s="3433">
        <f>SUM(L42)</f>
        <v>0</v>
      </c>
    </row>
    <row r="42" spans="1:13" ht="18" thickBot="1" x14ac:dyDescent="0.35">
      <c r="B42" s="3316"/>
      <c r="C42" s="2277">
        <v>282</v>
      </c>
      <c r="D42" s="2280" t="s">
        <v>1537</v>
      </c>
      <c r="E42" s="3380"/>
      <c r="F42" s="2279"/>
      <c r="H42" s="2414"/>
      <c r="I42" s="2414"/>
      <c r="J42" s="2415"/>
      <c r="K42" s="3525">
        <v>0</v>
      </c>
      <c r="L42" s="3434"/>
    </row>
    <row r="43" spans="1:13" ht="18.600000000000001" thickTop="1" thickBot="1" x14ac:dyDescent="0.35">
      <c r="B43" s="3316"/>
      <c r="C43" s="2277">
        <v>283</v>
      </c>
      <c r="D43" s="2280" t="s">
        <v>1536</v>
      </c>
      <c r="E43" s="3380"/>
      <c r="F43" s="2279"/>
      <c r="G43" s="2134"/>
      <c r="H43" s="3249" t="s">
        <v>1702</v>
      </c>
      <c r="I43" s="2412" t="s">
        <v>2197</v>
      </c>
      <c r="J43" s="2413" t="s">
        <v>2191</v>
      </c>
      <c r="K43" s="3259" t="s">
        <v>1702</v>
      </c>
      <c r="L43" s="2357">
        <f>SUM(L44,L46,L51,L55,L57,L60)</f>
        <v>5750</v>
      </c>
      <c r="M43" s="2134"/>
    </row>
    <row r="44" spans="1:13" ht="21" thickBot="1" x14ac:dyDescent="0.6">
      <c r="B44" s="3313"/>
      <c r="C44" s="2283"/>
      <c r="D44" s="2286"/>
      <c r="E44" s="3382"/>
      <c r="F44" s="2345"/>
      <c r="G44" s="2137"/>
      <c r="H44" s="3234" t="s">
        <v>39</v>
      </c>
      <c r="I44" s="2295">
        <v>42</v>
      </c>
      <c r="J44" s="2149" t="s">
        <v>2198</v>
      </c>
      <c r="K44" s="3259" t="s">
        <v>39</v>
      </c>
      <c r="L44" s="3425">
        <f>SUM(L45)</f>
        <v>0</v>
      </c>
      <c r="M44" s="2134"/>
    </row>
    <row r="45" spans="1:13" ht="27" thickTop="1" thickBot="1" x14ac:dyDescent="0.7">
      <c r="B45" s="3320" t="s">
        <v>52</v>
      </c>
      <c r="C45" s="2346"/>
      <c r="D45" s="2347" t="s">
        <v>1535</v>
      </c>
      <c r="E45" s="3383" t="s">
        <v>52</v>
      </c>
      <c r="F45" s="2321">
        <f>SUM(F46:F48)</f>
        <v>0</v>
      </c>
      <c r="G45" s="2141"/>
      <c r="H45" s="2371"/>
      <c r="I45" s="2371"/>
      <c r="J45" s="2124"/>
      <c r="K45" s="3521">
        <v>0</v>
      </c>
      <c r="L45" s="3435"/>
      <c r="M45" s="2134"/>
    </row>
    <row r="46" spans="1:13" ht="23.4" thickBot="1" x14ac:dyDescent="0.6">
      <c r="B46" s="3316"/>
      <c r="C46" s="2277">
        <v>284</v>
      </c>
      <c r="D46" s="2280" t="s">
        <v>1533</v>
      </c>
      <c r="E46" s="3380"/>
      <c r="F46" s="2279"/>
      <c r="G46" s="2143"/>
      <c r="H46" s="3234" t="s">
        <v>40</v>
      </c>
      <c r="I46" s="2379"/>
      <c r="J46" s="3232" t="s">
        <v>2392</v>
      </c>
      <c r="K46" s="3259" t="s">
        <v>40</v>
      </c>
      <c r="L46" s="2460">
        <f>SUM(L47,L48,L49,L50,L50)</f>
        <v>0</v>
      </c>
      <c r="M46" s="2134"/>
    </row>
    <row r="47" spans="1:13" ht="21.6" thickTop="1" x14ac:dyDescent="0.4">
      <c r="B47" s="3316"/>
      <c r="C47" s="2281" t="s">
        <v>2241</v>
      </c>
      <c r="D47" s="2280" t="s">
        <v>2242</v>
      </c>
      <c r="E47" s="3380"/>
      <c r="F47" s="2279"/>
      <c r="G47" s="2143"/>
      <c r="H47" s="2373">
        <v>1</v>
      </c>
      <c r="I47" s="2370" t="s">
        <v>2199</v>
      </c>
      <c r="J47" s="2443" t="s">
        <v>2490</v>
      </c>
      <c r="K47" s="3523">
        <v>0</v>
      </c>
      <c r="L47" s="3436">
        <v>0</v>
      </c>
      <c r="M47" s="2134"/>
    </row>
    <row r="48" spans="1:13" ht="19.8" thickBot="1" x14ac:dyDescent="0.45">
      <c r="B48" s="3321"/>
      <c r="C48" s="3301"/>
      <c r="D48" s="3302"/>
      <c r="E48" s="3303"/>
      <c r="F48" s="3304"/>
      <c r="G48" s="2134"/>
      <c r="H48" s="2370">
        <v>2</v>
      </c>
      <c r="I48" s="2370">
        <v>439</v>
      </c>
      <c r="J48" s="2443" t="s">
        <v>2499</v>
      </c>
      <c r="K48" s="3526">
        <v>0</v>
      </c>
      <c r="L48" s="3819">
        <v>0</v>
      </c>
      <c r="M48" s="2134"/>
    </row>
    <row r="49" spans="2:16" ht="18.600000000000001" thickTop="1" thickBot="1" x14ac:dyDescent="0.35">
      <c r="B49" s="3322"/>
      <c r="C49" s="3920" t="s">
        <v>2262</v>
      </c>
      <c r="D49" s="3921"/>
      <c r="E49" s="3384"/>
      <c r="F49" s="3300">
        <f>SUM(F50,F54,F66,F72,F77,F86)</f>
        <v>51850</v>
      </c>
      <c r="G49" s="2144"/>
      <c r="H49" s="2372"/>
      <c r="I49" s="2372"/>
      <c r="J49" s="2392" t="s">
        <v>2393</v>
      </c>
      <c r="K49" s="3527">
        <v>0</v>
      </c>
      <c r="L49" s="3424"/>
      <c r="M49" s="2134"/>
    </row>
    <row r="50" spans="2:16" ht="18.600000000000001" thickTop="1" thickBot="1" x14ac:dyDescent="0.35">
      <c r="B50" s="3251" t="s">
        <v>1705</v>
      </c>
      <c r="C50" s="2296">
        <v>290</v>
      </c>
      <c r="D50" s="2432" t="s">
        <v>2362</v>
      </c>
      <c r="E50" s="3380" t="s">
        <v>1643</v>
      </c>
      <c r="F50" s="3281">
        <f>SUM(F51)</f>
        <v>0</v>
      </c>
      <c r="G50" s="2134"/>
      <c r="H50" s="2412"/>
      <c r="I50" s="2412"/>
      <c r="J50" s="3428" t="s">
        <v>2394</v>
      </c>
      <c r="K50" s="3528">
        <v>0</v>
      </c>
      <c r="L50" s="3429"/>
    </row>
    <row r="51" spans="2:16" ht="21.6" thickTop="1" thickBot="1" x14ac:dyDescent="0.6">
      <c r="B51" s="3323" t="s">
        <v>39</v>
      </c>
      <c r="C51" s="2119">
        <v>2900</v>
      </c>
      <c r="D51" s="3467" t="s">
        <v>2334</v>
      </c>
      <c r="E51" s="3368" t="s">
        <v>39</v>
      </c>
      <c r="F51" s="3858">
        <f>SUM(F52)</f>
        <v>0</v>
      </c>
      <c r="G51" s="2134"/>
      <c r="H51" s="3234" t="s">
        <v>52</v>
      </c>
      <c r="I51" s="2379"/>
      <c r="J51" s="3599" t="s">
        <v>2462</v>
      </c>
      <c r="K51" s="3262" t="s">
        <v>52</v>
      </c>
      <c r="L51" s="2648">
        <f>SUM(L52)</f>
        <v>5750</v>
      </c>
    </row>
    <row r="52" spans="2:16" ht="21" thickTop="1" x14ac:dyDescent="0.55000000000000004">
      <c r="B52" s="3324"/>
      <c r="C52" s="2119">
        <v>2906</v>
      </c>
      <c r="D52" s="2432" t="s">
        <v>1513</v>
      </c>
      <c r="E52" s="3500">
        <v>0</v>
      </c>
      <c r="F52" s="2434">
        <v>0</v>
      </c>
      <c r="G52" s="2134"/>
      <c r="H52" s="2370">
        <v>1</v>
      </c>
      <c r="I52" s="2370">
        <v>440</v>
      </c>
      <c r="J52" s="3231" t="s">
        <v>2369</v>
      </c>
      <c r="K52" s="3273"/>
      <c r="L52" s="3463">
        <f>SUM(L53,L54)</f>
        <v>5750</v>
      </c>
    </row>
    <row r="53" spans="2:16" ht="18.600000000000001" thickBot="1" x14ac:dyDescent="0.4">
      <c r="B53" s="3325"/>
      <c r="C53" s="3305"/>
      <c r="D53" s="3306"/>
      <c r="E53" s="3385"/>
      <c r="F53" s="3307"/>
      <c r="G53" s="2145"/>
      <c r="H53" s="2370"/>
      <c r="I53" s="2370">
        <v>441</v>
      </c>
      <c r="J53" s="2443" t="s">
        <v>1450</v>
      </c>
      <c r="K53" s="3526">
        <v>0</v>
      </c>
      <c r="L53" s="2445"/>
      <c r="M53" s="2146"/>
      <c r="N53" s="2146"/>
      <c r="O53" s="2146"/>
      <c r="P53" s="2146"/>
    </row>
    <row r="54" spans="2:16" ht="21.6" thickBot="1" x14ac:dyDescent="0.65">
      <c r="B54" s="3456" t="s">
        <v>1643</v>
      </c>
      <c r="C54" s="3457"/>
      <c r="D54" s="3458" t="s">
        <v>2158</v>
      </c>
      <c r="E54" s="3459" t="s">
        <v>1643</v>
      </c>
      <c r="F54" s="3460">
        <f>SUM(F55,F63)</f>
        <v>15000</v>
      </c>
      <c r="G54" s="2138"/>
      <c r="H54" s="2371"/>
      <c r="I54" s="2371"/>
      <c r="J54" s="2444" t="s">
        <v>2285</v>
      </c>
      <c r="K54" s="3524">
        <v>0</v>
      </c>
      <c r="L54" s="2447">
        <v>5750</v>
      </c>
      <c r="M54" s="3850" t="s">
        <v>2518</v>
      </c>
      <c r="N54" s="2147"/>
      <c r="O54" s="2147"/>
      <c r="P54" s="2147"/>
    </row>
    <row r="55" spans="2:16" ht="20.399999999999999" x14ac:dyDescent="0.55000000000000004">
      <c r="B55" s="3449" t="s">
        <v>39</v>
      </c>
      <c r="C55" s="3450" t="s">
        <v>2196</v>
      </c>
      <c r="D55" s="3451" t="s">
        <v>170</v>
      </c>
      <c r="E55" s="3367" t="s">
        <v>39</v>
      </c>
      <c r="F55" s="3461">
        <f>SUM(F56:F62)</f>
        <v>15000</v>
      </c>
      <c r="H55" s="3235" t="s">
        <v>56</v>
      </c>
      <c r="I55" s="2295">
        <v>46</v>
      </c>
      <c r="J55" s="2395" t="s">
        <v>2271</v>
      </c>
      <c r="K55" s="3214" t="s">
        <v>56</v>
      </c>
      <c r="L55" s="3432">
        <f>SUM(L56)</f>
        <v>0</v>
      </c>
    </row>
    <row r="56" spans="2:16" ht="18" thickBot="1" x14ac:dyDescent="0.35">
      <c r="B56" s="3452"/>
      <c r="C56" s="3453">
        <v>31</v>
      </c>
      <c r="D56" s="3454" t="s">
        <v>1524</v>
      </c>
      <c r="E56" s="3500">
        <v>0</v>
      </c>
      <c r="F56" s="3455"/>
      <c r="H56" s="2349"/>
      <c r="I56" s="2349"/>
      <c r="J56" s="2398"/>
      <c r="K56" s="3529">
        <v>0</v>
      </c>
      <c r="L56" s="3437"/>
    </row>
    <row r="57" spans="2:16" ht="20.399999999999999" x14ac:dyDescent="0.55000000000000004">
      <c r="B57" s="3452"/>
      <c r="C57" s="3453">
        <v>32</v>
      </c>
      <c r="D57" s="3454" t="s">
        <v>2243</v>
      </c>
      <c r="E57" s="3500"/>
      <c r="F57" s="3455"/>
      <c r="H57" s="3236" t="s">
        <v>59</v>
      </c>
      <c r="J57" s="2397" t="s">
        <v>2282</v>
      </c>
      <c r="K57" s="3214" t="s">
        <v>59</v>
      </c>
      <c r="L57" s="3441">
        <f>SUM(L58:L59)</f>
        <v>0</v>
      </c>
    </row>
    <row r="58" spans="2:16" x14ac:dyDescent="0.3">
      <c r="B58" s="3452"/>
      <c r="C58" s="3453">
        <v>33</v>
      </c>
      <c r="D58" s="3454" t="s">
        <v>2244</v>
      </c>
      <c r="E58" s="3500"/>
      <c r="F58" s="3455"/>
      <c r="H58" s="2308">
        <v>1</v>
      </c>
      <c r="I58" s="2367" t="s">
        <v>2272</v>
      </c>
      <c r="J58" s="2396" t="s">
        <v>1444</v>
      </c>
      <c r="K58" s="3526">
        <v>0</v>
      </c>
      <c r="L58" s="3438"/>
    </row>
    <row r="59" spans="2:16" ht="18.600000000000001" thickBot="1" x14ac:dyDescent="0.35">
      <c r="B59" s="3452"/>
      <c r="C59" s="3453">
        <v>34</v>
      </c>
      <c r="D59" s="3531" t="s">
        <v>306</v>
      </c>
      <c r="E59" s="3500">
        <v>0</v>
      </c>
      <c r="F59" s="3836">
        <v>15000</v>
      </c>
      <c r="H59" s="2401">
        <v>2</v>
      </c>
      <c r="I59" s="2402">
        <v>454459</v>
      </c>
      <c r="J59" s="2403" t="s">
        <v>1441</v>
      </c>
      <c r="K59" s="3530">
        <v>0</v>
      </c>
      <c r="L59" s="3439"/>
    </row>
    <row r="60" spans="2:16" ht="21" x14ac:dyDescent="0.6">
      <c r="B60" s="3452"/>
      <c r="C60" s="3453">
        <v>35</v>
      </c>
      <c r="D60" s="3454" t="s">
        <v>2245</v>
      </c>
      <c r="E60" s="3500"/>
      <c r="F60" s="3455"/>
      <c r="H60" s="3236" t="s">
        <v>64</v>
      </c>
      <c r="I60" s="2399">
        <v>492493</v>
      </c>
      <c r="J60" s="2400" t="s">
        <v>2273</v>
      </c>
      <c r="K60" s="3274" t="s">
        <v>64</v>
      </c>
      <c r="L60" s="3442">
        <f>SUM(L61)</f>
        <v>0</v>
      </c>
    </row>
    <row r="61" spans="2:16" ht="18" thickBot="1" x14ac:dyDescent="0.35">
      <c r="B61" s="3452"/>
      <c r="C61" s="3453">
        <v>36</v>
      </c>
      <c r="D61" s="3454" t="s">
        <v>2246</v>
      </c>
      <c r="E61" s="3500"/>
      <c r="F61" s="3455"/>
      <c r="H61" s="2349"/>
      <c r="I61" s="2349"/>
      <c r="J61" s="2406"/>
      <c r="K61" s="3524">
        <v>0</v>
      </c>
      <c r="L61" s="3440"/>
    </row>
    <row r="62" spans="2:16" ht="18" thickBot="1" x14ac:dyDescent="0.35">
      <c r="B62" s="3326"/>
      <c r="C62" s="3284"/>
      <c r="D62" s="3285"/>
      <c r="E62" s="3387"/>
      <c r="F62" s="3286"/>
      <c r="H62" s="2314"/>
      <c r="I62" s="2314"/>
      <c r="J62" s="2404"/>
      <c r="K62" s="3214"/>
      <c r="L62" s="2405"/>
    </row>
    <row r="63" spans="2:16" ht="19.2" thickBot="1" x14ac:dyDescent="0.45">
      <c r="B63" s="3250" t="s">
        <v>40</v>
      </c>
      <c r="C63" s="3282">
        <v>37</v>
      </c>
      <c r="D63" s="3283" t="s">
        <v>2247</v>
      </c>
      <c r="E63" s="3388" t="s">
        <v>40</v>
      </c>
      <c r="F63" s="3426">
        <f>SUM(F64:F65)</f>
        <v>0</v>
      </c>
      <c r="H63" s="2326"/>
      <c r="I63" s="2380"/>
      <c r="J63" s="2127"/>
      <c r="K63" s="3266"/>
      <c r="L63" s="2122"/>
    </row>
    <row r="64" spans="2:16" ht="18.600000000000001" thickTop="1" thickBot="1" x14ac:dyDescent="0.35">
      <c r="B64" s="3309"/>
      <c r="C64" s="2125">
        <v>371</v>
      </c>
      <c r="D64" s="3335" t="s">
        <v>2398</v>
      </c>
      <c r="E64" s="3506">
        <v>0</v>
      </c>
      <c r="F64" s="2431"/>
      <c r="H64" s="2374"/>
      <c r="I64" s="2374"/>
      <c r="J64" s="2128" t="s">
        <v>1723</v>
      </c>
      <c r="K64" s="3215"/>
      <c r="L64" s="2129">
        <f>SUM(L6,L26)</f>
        <v>144350</v>
      </c>
    </row>
    <row r="65" spans="2:12" ht="18.600000000000001" thickTop="1" thickBot="1" x14ac:dyDescent="0.35">
      <c r="B65" s="3311"/>
      <c r="C65" s="2358"/>
      <c r="D65" s="3333"/>
      <c r="E65" s="3370"/>
      <c r="F65" s="3334"/>
      <c r="H65" s="2375"/>
      <c r="I65" s="2375"/>
      <c r="J65" s="2131"/>
      <c r="K65" s="3216"/>
      <c r="L65" s="2132"/>
    </row>
    <row r="66" spans="2:12" ht="26.4" thickTop="1" thickBot="1" x14ac:dyDescent="0.65">
      <c r="B66" s="3252" t="s">
        <v>1710</v>
      </c>
      <c r="C66" s="2318" t="s">
        <v>2195</v>
      </c>
      <c r="D66" s="2359" t="s">
        <v>2261</v>
      </c>
      <c r="E66" s="3389" t="s">
        <v>1710</v>
      </c>
      <c r="F66" s="3289">
        <f>SUM(F67,F70)</f>
        <v>6250</v>
      </c>
      <c r="H66" s="3916" t="str">
        <f>IF(F88=L64,"Valeurs Initiales correctent - OK -","VERIFIER V.I. avant de continuer")</f>
        <v>Valeurs Initiales correctent - OK -</v>
      </c>
      <c r="I66" s="3916"/>
      <c r="J66" s="3916"/>
      <c r="K66" s="3916"/>
      <c r="L66" s="3916"/>
    </row>
    <row r="67" spans="2:12" ht="21" thickBot="1" x14ac:dyDescent="0.6">
      <c r="B67" s="2461" t="s">
        <v>2190</v>
      </c>
      <c r="C67" s="2294">
        <v>40</v>
      </c>
      <c r="D67" s="3467" t="s">
        <v>2337</v>
      </c>
      <c r="E67" s="3380" t="s">
        <v>39</v>
      </c>
      <c r="F67" s="2460">
        <f>SUM(F68:F69)</f>
        <v>6250</v>
      </c>
      <c r="H67" s="2376"/>
      <c r="I67" s="2376"/>
      <c r="J67" s="2138" t="s">
        <v>1867</v>
      </c>
      <c r="K67" s="3217"/>
      <c r="L67" s="2139"/>
    </row>
    <row r="68" spans="2:12" ht="18.600000000000001" thickTop="1" thickBot="1" x14ac:dyDescent="0.35">
      <c r="B68" s="3310"/>
      <c r="C68" s="2119">
        <v>400</v>
      </c>
      <c r="E68" s="3505">
        <v>0</v>
      </c>
      <c r="F68" s="3839">
        <v>6250</v>
      </c>
      <c r="H68" s="2376"/>
      <c r="I68" s="2376"/>
      <c r="J68" s="2142" t="s">
        <v>2069</v>
      </c>
      <c r="K68" s="3217"/>
      <c r="L68" s="2139"/>
    </row>
    <row r="69" spans="2:12" ht="18.600000000000001" thickTop="1" thickBot="1" x14ac:dyDescent="0.35">
      <c r="B69" s="3327"/>
      <c r="C69" s="3297"/>
      <c r="D69" s="3298"/>
      <c r="E69" s="3382"/>
      <c r="F69" s="3299"/>
      <c r="H69" s="3917" t="s">
        <v>2209</v>
      </c>
      <c r="I69" s="3917"/>
      <c r="J69" s="3917"/>
      <c r="K69" s="3217"/>
      <c r="L69" s="2139"/>
    </row>
    <row r="70" spans="2:12" ht="21" thickBot="1" x14ac:dyDescent="0.6">
      <c r="B70" s="2462" t="s">
        <v>40</v>
      </c>
      <c r="C70" s="2342">
        <v>41</v>
      </c>
      <c r="D70" s="2353" t="s">
        <v>2248</v>
      </c>
      <c r="E70" s="3390" t="s">
        <v>40</v>
      </c>
      <c r="F70" s="3291">
        <f>SUM(F71)</f>
        <v>0</v>
      </c>
      <c r="H70" s="2377" t="s">
        <v>2204</v>
      </c>
      <c r="I70" s="2381" t="s">
        <v>2205</v>
      </c>
      <c r="J70" s="2170" t="s">
        <v>2210</v>
      </c>
      <c r="K70" s="3217"/>
      <c r="L70" s="2139"/>
    </row>
    <row r="71" spans="2:12" ht="18" thickBot="1" x14ac:dyDescent="0.35">
      <c r="B71" s="3328"/>
      <c r="C71" s="2358"/>
      <c r="D71" s="2427" t="s">
        <v>2277</v>
      </c>
      <c r="E71" s="3504">
        <v>0</v>
      </c>
      <c r="F71" s="2426"/>
      <c r="H71" s="2378" t="s">
        <v>2204</v>
      </c>
      <c r="I71" s="2382" t="s">
        <v>2206</v>
      </c>
      <c r="J71" s="2170" t="s">
        <v>2208</v>
      </c>
      <c r="K71" s="3217"/>
      <c r="L71" s="2139"/>
    </row>
    <row r="72" spans="2:12" ht="22.2" thickTop="1" thickBot="1" x14ac:dyDescent="0.65">
      <c r="B72" s="3329" t="s">
        <v>1700</v>
      </c>
      <c r="C72" s="2298" t="s">
        <v>2249</v>
      </c>
      <c r="D72" s="2360" t="s">
        <v>2250</v>
      </c>
      <c r="E72" s="3391" t="s">
        <v>1700</v>
      </c>
      <c r="F72" s="3287">
        <f>SUM(F73,F75)</f>
        <v>0</v>
      </c>
      <c r="H72" s="2378" t="s">
        <v>2206</v>
      </c>
      <c r="I72" s="2382" t="s">
        <v>2207</v>
      </c>
      <c r="J72" s="2170" t="s">
        <v>2211</v>
      </c>
      <c r="K72" s="3217"/>
      <c r="L72" s="2139"/>
    </row>
    <row r="73" spans="2:12" ht="19.2" thickBot="1" x14ac:dyDescent="0.45">
      <c r="B73" s="2462" t="s">
        <v>39</v>
      </c>
      <c r="C73" s="2361">
        <v>50</v>
      </c>
      <c r="D73" s="2362" t="s">
        <v>2251</v>
      </c>
      <c r="E73" s="3392" t="s">
        <v>39</v>
      </c>
      <c r="F73" s="3292">
        <f>SUM(F74)</f>
        <v>0</v>
      </c>
      <c r="H73" s="2378" t="s">
        <v>2207</v>
      </c>
      <c r="I73" s="2382" t="s">
        <v>2205</v>
      </c>
      <c r="J73" s="2170" t="s">
        <v>2212</v>
      </c>
      <c r="K73" s="3217"/>
    </row>
    <row r="74" spans="2:12" ht="18" thickBot="1" x14ac:dyDescent="0.35">
      <c r="B74" s="3330"/>
      <c r="C74" s="3294"/>
      <c r="D74" s="3295" t="s">
        <v>2278</v>
      </c>
      <c r="E74" s="3503">
        <v>0</v>
      </c>
      <c r="F74" s="3296"/>
      <c r="H74" s="2376"/>
    </row>
    <row r="75" spans="2:12" ht="19.2" thickBot="1" x14ac:dyDescent="0.45">
      <c r="B75" s="2462" t="s">
        <v>40</v>
      </c>
      <c r="C75" s="2361" t="s">
        <v>2252</v>
      </c>
      <c r="D75" s="2362" t="s">
        <v>2253</v>
      </c>
      <c r="E75" s="3390" t="s">
        <v>40</v>
      </c>
      <c r="F75" s="3290">
        <f>SUM(F76)</f>
        <v>0</v>
      </c>
      <c r="H75" s="2376"/>
    </row>
    <row r="76" spans="2:12" ht="18.600000000000001" thickTop="1" thickBot="1" x14ac:dyDescent="0.35">
      <c r="B76" s="3331"/>
      <c r="C76" s="2287"/>
      <c r="D76" s="2428" t="s">
        <v>2279</v>
      </c>
      <c r="E76" s="3502">
        <v>0</v>
      </c>
      <c r="F76" s="2425"/>
      <c r="H76" s="2376"/>
    </row>
    <row r="77" spans="2:12" ht="22.2" thickTop="1" thickBot="1" x14ac:dyDescent="0.65">
      <c r="B77" s="3252" t="s">
        <v>1702</v>
      </c>
      <c r="C77" s="2318" t="s">
        <v>2194</v>
      </c>
      <c r="D77" s="2317" t="s">
        <v>1703</v>
      </c>
      <c r="E77" s="3389" t="s">
        <v>1702</v>
      </c>
      <c r="F77" s="3287">
        <f>SUM(F78,F82,F84)</f>
        <v>30600</v>
      </c>
      <c r="H77" s="2376"/>
      <c r="J77" s="3256" t="s">
        <v>2395</v>
      </c>
      <c r="L77" s="3255">
        <f>F88</f>
        <v>144350</v>
      </c>
    </row>
    <row r="78" spans="2:12" ht="21.6" thickBot="1" x14ac:dyDescent="0.65">
      <c r="B78" s="2461" t="s">
        <v>39</v>
      </c>
      <c r="C78" s="2294">
        <v>550</v>
      </c>
      <c r="D78" s="2305" t="s">
        <v>169</v>
      </c>
      <c r="E78" s="3380" t="s">
        <v>39</v>
      </c>
      <c r="F78" s="2332">
        <f>SUM(F79:F81)</f>
        <v>25000</v>
      </c>
      <c r="J78" s="3256" t="s">
        <v>2396</v>
      </c>
      <c r="L78" s="3258">
        <f>SUM(L26)</f>
        <v>5750</v>
      </c>
    </row>
    <row r="79" spans="2:12" ht="18.600000000000001" thickTop="1" x14ac:dyDescent="0.35">
      <c r="B79" s="3293"/>
      <c r="C79" s="2119"/>
      <c r="D79" s="2430" t="s">
        <v>2162</v>
      </c>
      <c r="E79" s="3499">
        <v>0</v>
      </c>
      <c r="F79" s="3840">
        <v>25000</v>
      </c>
      <c r="J79" s="3257" t="s">
        <v>2397</v>
      </c>
      <c r="L79" s="3254">
        <f>SUM(L77,-L78)</f>
        <v>138600</v>
      </c>
    </row>
    <row r="80" spans="2:12" ht="18" x14ac:dyDescent="0.35">
      <c r="B80" s="3293"/>
      <c r="C80" s="2119"/>
      <c r="D80" s="2430" t="s">
        <v>2161</v>
      </c>
      <c r="E80" s="3500">
        <v>0</v>
      </c>
      <c r="F80" s="3412"/>
    </row>
    <row r="81" spans="2:10" ht="18.600000000000001" thickBot="1" x14ac:dyDescent="0.4">
      <c r="B81" s="3406"/>
      <c r="C81" s="3297"/>
      <c r="D81" s="3407"/>
      <c r="E81" s="3501">
        <v>0</v>
      </c>
      <c r="F81" s="3413"/>
    </row>
    <row r="82" spans="2:10" ht="21.6" thickBot="1" x14ac:dyDescent="0.65">
      <c r="B82" s="3404" t="s">
        <v>40</v>
      </c>
      <c r="C82" s="2294">
        <v>560</v>
      </c>
      <c r="D82" s="2305" t="s">
        <v>2286</v>
      </c>
      <c r="E82" s="3379" t="s">
        <v>40</v>
      </c>
      <c r="F82" s="3405">
        <f>SUM(F83)</f>
        <v>4800</v>
      </c>
    </row>
    <row r="83" spans="2:10" ht="19.2" thickTop="1" thickBot="1" x14ac:dyDescent="0.4">
      <c r="B83" s="3406"/>
      <c r="C83" s="3297"/>
      <c r="D83" s="3411" t="s">
        <v>2284</v>
      </c>
      <c r="E83" s="3498">
        <v>0</v>
      </c>
      <c r="F83" s="3837">
        <v>4800</v>
      </c>
      <c r="J83" s="2134"/>
    </row>
    <row r="84" spans="2:10" ht="21" x14ac:dyDescent="0.6">
      <c r="B84" s="3408" t="s">
        <v>52</v>
      </c>
      <c r="C84" s="3409">
        <v>570</v>
      </c>
      <c r="D84" s="3466" t="s">
        <v>1647</v>
      </c>
      <c r="E84" s="3393" t="s">
        <v>52</v>
      </c>
      <c r="F84" s="3410">
        <f>SUM(F85)</f>
        <v>800</v>
      </c>
    </row>
    <row r="85" spans="2:10" ht="18" thickBot="1" x14ac:dyDescent="0.35">
      <c r="B85" s="3332"/>
      <c r="C85" s="2423"/>
      <c r="D85" s="2429" t="s">
        <v>2276</v>
      </c>
      <c r="E85" s="3497">
        <v>0</v>
      </c>
      <c r="F85" s="3838">
        <v>800</v>
      </c>
    </row>
    <row r="86" spans="2:10" ht="19.8" thickTop="1" thickBot="1" x14ac:dyDescent="0.6">
      <c r="B86" s="3253" t="s">
        <v>2254</v>
      </c>
      <c r="C86" s="2285" t="s">
        <v>2255</v>
      </c>
      <c r="D86" s="2284" t="s">
        <v>2256</v>
      </c>
      <c r="E86" s="3380" t="s">
        <v>2254</v>
      </c>
      <c r="F86" s="3288">
        <f>SUM(F87)</f>
        <v>0</v>
      </c>
    </row>
    <row r="87" spans="2:10" ht="18.600000000000001" thickTop="1" thickBot="1" x14ac:dyDescent="0.3">
      <c r="B87" s="3322"/>
      <c r="C87" s="2287"/>
      <c r="D87" s="2288"/>
      <c r="E87" s="3384"/>
      <c r="F87" s="2424"/>
    </row>
    <row r="88" spans="2:10" ht="18.600000000000001" thickTop="1" thickBot="1" x14ac:dyDescent="0.35">
      <c r="B88" s="3322"/>
      <c r="C88" s="2275"/>
      <c r="D88" s="2276" t="s">
        <v>1722</v>
      </c>
      <c r="E88" s="3394"/>
      <c r="F88" s="2152">
        <f>SUM(F5,F49)</f>
        <v>144350</v>
      </c>
    </row>
    <row r="89" spans="2:10" ht="21" thickTop="1" x14ac:dyDescent="0.25">
      <c r="C89" s="3915"/>
      <c r="D89" s="3915"/>
      <c r="E89" s="3386"/>
      <c r="F89" s="2130"/>
    </row>
    <row r="90" spans="2:10" x14ac:dyDescent="0.25">
      <c r="C90" s="2133"/>
      <c r="D90" s="2133"/>
      <c r="E90" s="3386"/>
      <c r="F90" s="2130"/>
    </row>
    <row r="91" spans="2:10" x14ac:dyDescent="0.25">
      <c r="C91" s="2110"/>
      <c r="D91" s="2135" t="s">
        <v>1724</v>
      </c>
      <c r="E91" s="3395"/>
      <c r="F91" s="2136"/>
    </row>
    <row r="92" spans="2:10" x14ac:dyDescent="0.25">
      <c r="C92" s="2140"/>
      <c r="D92" s="2135" t="s">
        <v>1725</v>
      </c>
      <c r="E92" s="3395"/>
      <c r="F92" s="2136"/>
    </row>
    <row r="93" spans="2:10" x14ac:dyDescent="0.25">
      <c r="C93" s="2140"/>
      <c r="D93" s="2134"/>
      <c r="E93" s="3395"/>
      <c r="F93" s="2139"/>
    </row>
    <row r="94" spans="2:10" x14ac:dyDescent="0.25">
      <c r="C94" s="2140"/>
      <c r="D94" s="2134"/>
      <c r="E94" s="3395"/>
      <c r="F94" s="2139"/>
    </row>
    <row r="95" spans="2:10" x14ac:dyDescent="0.25">
      <c r="C95" s="2140"/>
      <c r="D95" s="2134"/>
      <c r="E95" s="3395"/>
      <c r="F95" s="2139"/>
    </row>
    <row r="104" spans="10:10" x14ac:dyDescent="0.25">
      <c r="J104" s="2365"/>
    </row>
  </sheetData>
  <mergeCells count="10">
    <mergeCell ref="I4:J4"/>
    <mergeCell ref="C41:D41"/>
    <mergeCell ref="B2:D2"/>
    <mergeCell ref="C89:D89"/>
    <mergeCell ref="H66:L66"/>
    <mergeCell ref="H69:J69"/>
    <mergeCell ref="I5:J5"/>
    <mergeCell ref="C49:D49"/>
    <mergeCell ref="I27:J27"/>
    <mergeCell ref="F2:H2"/>
  </mergeCells>
  <conditionalFormatting sqref="F88 L64:L65">
    <cfRule type="cellIs" dxfId="29" priority="8" operator="equal">
      <formula>"C23=G23"</formula>
    </cfRule>
  </conditionalFormatting>
  <conditionalFormatting sqref="F88">
    <cfRule type="cellIs" dxfId="28" priority="5" operator="equal">
      <formula>22806.22</formula>
    </cfRule>
  </conditionalFormatting>
  <conditionalFormatting sqref="L64:L65">
    <cfRule type="duplicateValues" dxfId="27" priority="6"/>
    <cfRule type="cellIs" dxfId="26" priority="7" operator="equal">
      <formula>22806.22</formula>
    </cfRule>
  </conditionalFormatting>
  <conditionalFormatting sqref="H66">
    <cfRule type="expression" dxfId="25" priority="362">
      <formula>$F$88&lt;&gt;$L$64</formula>
    </cfRule>
    <cfRule type="duplicateValues" dxfId="24" priority="363"/>
    <cfRule type="colorScale" priority="364">
      <colorScale>
        <cfvo type="num" val="&quot;$C$23 = $G$23&quot;"/>
        <cfvo type="num" val="&quot;$C$23 &lt;&gt; $G$23&quot;"/>
        <color rgb="FF00B050"/>
        <color rgb="FFFF0000"/>
      </colorScale>
    </cfRule>
    <cfRule type="colorScale" priority="365">
      <colorScale>
        <cfvo type="num" val="$F$88 = $L$64"/>
        <cfvo type="num" val="$F$88&lt;&gt;$L$64"/>
        <color rgb="FF00B050"/>
        <color rgb="FFFF0000"/>
      </colorScale>
    </cfRule>
  </conditionalFormatting>
  <pageMargins left="0.25" right="0.25" top="0.75" bottom="0.75" header="0.3" footer="0.3"/>
  <pageSetup paperSize="9" scale="61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2:BS258"/>
  <sheetViews>
    <sheetView topLeftCell="C42" zoomScaleNormal="100" workbookViewId="0">
      <selection activeCell="D55" sqref="D55"/>
    </sheetView>
  </sheetViews>
  <sheetFormatPr baseColWidth="10" defaultColWidth="11.44140625" defaultRowHeight="13.8" x14ac:dyDescent="0.25"/>
  <cols>
    <col min="1" max="1" width="13.109375" style="596" customWidth="1"/>
    <col min="2" max="2" width="17" style="596" customWidth="1"/>
    <col min="3" max="3" width="15.88671875" style="596" customWidth="1"/>
    <col min="4" max="4" width="19.5546875" style="597" customWidth="1"/>
    <col min="5" max="5" width="14.21875" style="597" customWidth="1"/>
    <col min="6" max="6" width="31.77734375" style="598" customWidth="1"/>
    <col min="7" max="7" width="21.109375" style="596" customWidth="1"/>
    <col min="8" max="8" width="18.5546875" style="596" customWidth="1"/>
    <col min="9" max="9" width="21.6640625" style="596" customWidth="1"/>
    <col min="10" max="10" width="14.44140625" style="596" customWidth="1"/>
    <col min="11" max="11" width="11.44140625" style="596" customWidth="1"/>
    <col min="12" max="12" width="10.33203125" style="599" customWidth="1"/>
    <col min="13" max="13" width="11.88671875" style="597" customWidth="1"/>
    <col min="14" max="14" width="9.109375" style="596" customWidth="1"/>
    <col min="15" max="15" width="13.109375" style="596" customWidth="1"/>
    <col min="16" max="16" width="13" style="596" customWidth="1"/>
    <col min="17" max="17" width="13.44140625" style="596" customWidth="1"/>
    <col min="18" max="18" width="13.33203125" style="596" customWidth="1"/>
    <col min="19" max="19" width="13.5546875" style="596" customWidth="1"/>
    <col min="20" max="20" width="10.88671875" style="596" customWidth="1"/>
    <col min="21" max="22" width="12.44140625" style="597" customWidth="1"/>
    <col min="23" max="23" width="12.44140625" style="596" customWidth="1"/>
    <col min="24" max="24" width="14.109375" style="596" customWidth="1"/>
    <col min="25" max="25" width="15" style="596" customWidth="1"/>
    <col min="26" max="26" width="14.33203125" style="596" customWidth="1"/>
    <col min="27" max="27" width="14" style="596" customWidth="1"/>
    <col min="28" max="28" width="12.88671875" style="596" customWidth="1"/>
    <col min="29" max="29" width="12" style="596" customWidth="1"/>
    <col min="30" max="30" width="12.44140625" style="596" customWidth="1"/>
    <col min="31" max="31" width="18.33203125" style="596" customWidth="1"/>
    <col min="32" max="32" width="14.88671875" style="596" customWidth="1"/>
    <col min="33" max="33" width="19.33203125" style="596" customWidth="1"/>
    <col min="34" max="34" width="14.33203125" style="596" customWidth="1"/>
    <col min="35" max="36" width="12.44140625" style="596" customWidth="1"/>
    <col min="37" max="37" width="13" style="596" customWidth="1"/>
    <col min="38" max="38" width="17.109375" style="596" customWidth="1"/>
    <col min="39" max="39" width="16.88671875" style="596" customWidth="1"/>
    <col min="40" max="40" width="14" style="596" customWidth="1"/>
    <col min="41" max="41" width="14.5546875" style="596" customWidth="1"/>
    <col min="42" max="16384" width="11.44140625" style="596"/>
  </cols>
  <sheetData>
    <row r="2" spans="1:54" x14ac:dyDescent="0.25">
      <c r="Z2" s="748"/>
      <c r="AA2" s="748"/>
      <c r="AB2" s="748"/>
      <c r="AC2" s="748"/>
    </row>
    <row r="3" spans="1:54" s="600" customFormat="1" ht="18" thickBot="1" x14ac:dyDescent="0.35">
      <c r="E3" s="601"/>
      <c r="F3" s="602"/>
      <c r="O3" s="603"/>
      <c r="P3" s="603"/>
      <c r="Q3" s="603"/>
      <c r="R3" s="604"/>
      <c r="S3" s="604"/>
      <c r="AE3" s="605"/>
    </row>
    <row r="4" spans="1:54" s="607" customFormat="1" ht="21" thickBot="1" x14ac:dyDescent="0.4">
      <c r="A4" s="606"/>
      <c r="F4" s="3957" t="s">
        <v>2122</v>
      </c>
      <c r="G4" s="3957"/>
      <c r="H4" s="3957"/>
      <c r="I4" s="3957"/>
      <c r="P4" s="606"/>
      <c r="Q4" s="606"/>
      <c r="R4" s="606"/>
      <c r="S4" s="608"/>
      <c r="T4" s="608"/>
      <c r="U4" s="608"/>
      <c r="V4" s="608"/>
      <c r="W4" s="608"/>
      <c r="X4" s="608"/>
      <c r="Y4" s="608"/>
      <c r="Z4" s="606"/>
      <c r="AA4" s="606"/>
      <c r="AB4" s="606"/>
      <c r="AC4" s="606"/>
    </row>
    <row r="5" spans="1:54" s="610" customFormat="1" ht="15" customHeight="1" x14ac:dyDescent="0.25">
      <c r="A5" s="609"/>
      <c r="F5" s="611"/>
      <c r="G5" s="611"/>
      <c r="H5" s="611"/>
      <c r="I5" s="612" t="s">
        <v>1975</v>
      </c>
      <c r="O5" s="609"/>
      <c r="P5" s="609"/>
      <c r="Q5" s="609"/>
      <c r="R5" s="609"/>
      <c r="S5" s="613"/>
      <c r="T5" s="613"/>
      <c r="U5" s="613"/>
      <c r="V5" s="613"/>
      <c r="W5" s="613"/>
      <c r="X5" s="613"/>
      <c r="Y5" s="613"/>
      <c r="Z5" s="609"/>
      <c r="AA5" s="609"/>
      <c r="AB5" s="609"/>
      <c r="AC5" s="609"/>
      <c r="AD5" s="614"/>
      <c r="AE5" s="607"/>
      <c r="AF5" s="614"/>
      <c r="AG5" s="614"/>
      <c r="AH5" s="614"/>
      <c r="AL5" s="614"/>
      <c r="AM5" s="614"/>
      <c r="AN5" s="614"/>
      <c r="AO5" s="614"/>
      <c r="AP5" s="614"/>
      <c r="AQ5" s="614"/>
      <c r="AR5" s="614"/>
      <c r="AS5" s="614"/>
      <c r="AT5" s="614"/>
      <c r="AU5" s="614"/>
    </row>
    <row r="6" spans="1:54" s="610" customFormat="1" ht="17.399999999999999" x14ac:dyDescent="0.3">
      <c r="A6" s="609"/>
      <c r="B6" s="615"/>
      <c r="C6" s="615"/>
      <c r="D6" s="615"/>
      <c r="E6" s="615"/>
      <c r="F6" s="616" t="s">
        <v>5</v>
      </c>
      <c r="G6" s="617" t="s">
        <v>2114</v>
      </c>
      <c r="H6" s="618" t="s">
        <v>1974</v>
      </c>
      <c r="I6" s="619" t="s">
        <v>1977</v>
      </c>
      <c r="J6" s="614"/>
      <c r="K6" s="609"/>
      <c r="L6" s="609"/>
      <c r="M6" s="609"/>
      <c r="N6" s="609"/>
      <c r="O6" s="609"/>
      <c r="P6" s="609"/>
      <c r="Q6" s="609"/>
      <c r="R6" s="609"/>
      <c r="S6" s="613"/>
      <c r="T6" s="613"/>
      <c r="U6" s="613"/>
      <c r="V6" s="613"/>
      <c r="W6" s="613"/>
      <c r="X6" s="613"/>
      <c r="AF6" s="2466" t="s">
        <v>2292</v>
      </c>
      <c r="AG6" s="614"/>
      <c r="AH6" s="614"/>
      <c r="AL6" s="614"/>
      <c r="AM6" s="614"/>
      <c r="AN6" s="614"/>
      <c r="AO6" s="614"/>
      <c r="AP6" s="614"/>
      <c r="AQ6" s="614"/>
      <c r="AR6" s="614"/>
      <c r="AS6" s="614"/>
      <c r="AT6" s="614"/>
      <c r="AU6" s="614"/>
    </row>
    <row r="7" spans="1:54" s="610" customFormat="1" ht="17.399999999999999" x14ac:dyDescent="0.3">
      <c r="A7" s="609"/>
      <c r="B7" s="615"/>
      <c r="C7" s="615"/>
      <c r="D7" s="615"/>
      <c r="E7" s="615"/>
      <c r="F7" s="617" t="s">
        <v>1973</v>
      </c>
      <c r="G7" s="620" t="s">
        <v>2115</v>
      </c>
      <c r="H7" s="621" t="s">
        <v>2118</v>
      </c>
      <c r="I7" s="622" t="s">
        <v>2093</v>
      </c>
      <c r="J7" s="614"/>
      <c r="K7" s="609"/>
      <c r="L7" s="609"/>
      <c r="M7" s="609"/>
      <c r="N7" s="609"/>
      <c r="P7" s="623"/>
      <c r="Q7" s="623"/>
      <c r="R7" s="607"/>
      <c r="S7" s="607"/>
      <c r="T7" s="607"/>
      <c r="U7" s="623"/>
      <c r="V7" s="623"/>
      <c r="W7" s="613"/>
      <c r="X7" s="613"/>
      <c r="Y7" s="614"/>
      <c r="Z7" s="3695" t="s">
        <v>2154</v>
      </c>
      <c r="AA7" s="3811"/>
      <c r="AB7" s="3811"/>
      <c r="AC7" s="3811"/>
      <c r="AD7" s="3811"/>
      <c r="AE7" s="3811"/>
      <c r="AF7" s="3812"/>
      <c r="AG7" s="614"/>
      <c r="AH7" s="614"/>
      <c r="AL7" s="614"/>
      <c r="AM7" s="614"/>
      <c r="AN7" s="614"/>
      <c r="AO7" s="614"/>
      <c r="AP7" s="614"/>
      <c r="AQ7" s="614"/>
      <c r="AR7" s="614"/>
      <c r="AS7" s="614"/>
      <c r="AT7" s="614"/>
      <c r="AU7" s="614"/>
    </row>
    <row r="8" spans="1:54" s="610" customFormat="1" ht="16.5" customHeight="1" thickBot="1" x14ac:dyDescent="0.4">
      <c r="A8" s="609"/>
      <c r="B8" s="615"/>
      <c r="C8" s="615"/>
      <c r="D8" s="615"/>
      <c r="E8" s="624" t="s">
        <v>2056</v>
      </c>
      <c r="F8" s="611"/>
      <c r="G8" s="611"/>
      <c r="H8" s="625" t="s">
        <v>2090</v>
      </c>
      <c r="I8" s="626" t="s">
        <v>2116</v>
      </c>
      <c r="J8" s="614"/>
      <c r="K8" s="609"/>
      <c r="L8" s="609"/>
      <c r="M8" s="609"/>
      <c r="N8" s="609"/>
      <c r="P8" s="627" t="s">
        <v>1894</v>
      </c>
      <c r="Q8" s="4000" t="s">
        <v>2155</v>
      </c>
      <c r="R8" s="4000"/>
      <c r="S8" s="4000"/>
      <c r="T8" s="4000"/>
      <c r="U8" s="4000"/>
      <c r="V8" s="628"/>
      <c r="W8" s="629" t="s">
        <v>0</v>
      </c>
      <c r="X8" s="630"/>
      <c r="Y8" s="631"/>
      <c r="Z8" s="632"/>
      <c r="AA8" s="633"/>
      <c r="AB8" s="634"/>
      <c r="AC8" s="634"/>
      <c r="AD8" s="634"/>
      <c r="AE8" s="635" t="s">
        <v>169</v>
      </c>
      <c r="AF8" s="2465" t="s">
        <v>1910</v>
      </c>
      <c r="AL8" s="614"/>
      <c r="AM8" s="614"/>
      <c r="AN8" s="614"/>
      <c r="AO8" s="614"/>
      <c r="AP8" s="614"/>
      <c r="AQ8" s="614"/>
      <c r="AR8" s="614"/>
      <c r="AS8" s="614"/>
      <c r="AT8" s="614"/>
      <c r="AU8" s="614"/>
    </row>
    <row r="9" spans="1:54" s="610" customFormat="1" ht="21.75" customHeight="1" thickTop="1" thickBot="1" x14ac:dyDescent="0.35">
      <c r="A9" s="3949" t="s">
        <v>1737</v>
      </c>
      <c r="B9" s="3950"/>
      <c r="C9" s="3950"/>
      <c r="D9" s="3951"/>
      <c r="E9" s="636" t="s">
        <v>5</v>
      </c>
      <c r="F9" s="637" t="s">
        <v>2061</v>
      </c>
      <c r="G9" s="637" t="s">
        <v>2095</v>
      </c>
      <c r="H9" s="625" t="s">
        <v>2091</v>
      </c>
      <c r="I9" s="626" t="s">
        <v>2117</v>
      </c>
      <c r="P9" s="638" t="s">
        <v>2</v>
      </c>
      <c r="Q9" s="639"/>
      <c r="R9" s="640"/>
      <c r="S9" s="641"/>
      <c r="T9" s="642" t="s">
        <v>31</v>
      </c>
      <c r="U9" s="643"/>
      <c r="V9" s="644" t="s">
        <v>3</v>
      </c>
      <c r="W9" s="644" t="s">
        <v>31</v>
      </c>
      <c r="X9" s="613"/>
      <c r="Y9" s="3489" t="s">
        <v>2424</v>
      </c>
      <c r="Z9" s="645" t="s">
        <v>1900</v>
      </c>
      <c r="AA9" s="3934" t="s">
        <v>1889</v>
      </c>
      <c r="AB9" s="3935"/>
      <c r="AC9" s="3935"/>
      <c r="AD9" s="3936"/>
      <c r="AE9" s="646" t="s">
        <v>1627</v>
      </c>
      <c r="AF9" s="647" t="s">
        <v>169</v>
      </c>
      <c r="AL9" s="614"/>
      <c r="AM9" s="614"/>
      <c r="AN9" s="614"/>
      <c r="AO9" s="614"/>
      <c r="AP9" s="614"/>
      <c r="AQ9" s="614"/>
      <c r="AR9" s="614"/>
      <c r="AS9" s="614"/>
      <c r="AT9" s="614"/>
      <c r="AU9" s="614"/>
    </row>
    <row r="10" spans="1:54" s="610" customFormat="1" ht="15.75" customHeight="1" thickTop="1" thickBot="1" x14ac:dyDescent="0.35">
      <c r="A10" s="648" t="s">
        <v>1866</v>
      </c>
      <c r="B10" s="648"/>
      <c r="C10" s="648"/>
      <c r="D10" s="648"/>
      <c r="E10" s="649" t="s">
        <v>2055</v>
      </c>
      <c r="F10" s="625" t="s">
        <v>2111</v>
      </c>
      <c r="G10" s="637" t="s">
        <v>2096</v>
      </c>
      <c r="H10" s="625" t="s">
        <v>2092</v>
      </c>
      <c r="I10" s="650" t="s">
        <v>2094</v>
      </c>
      <c r="J10" s="3929" t="s">
        <v>1738</v>
      </c>
      <c r="K10" s="3929"/>
      <c r="L10" s="3929"/>
      <c r="M10" s="3929"/>
      <c r="N10" s="3929"/>
      <c r="O10" s="3930"/>
      <c r="P10" s="638" t="s">
        <v>1892</v>
      </c>
      <c r="Q10" s="651"/>
      <c r="R10" s="3941" t="s">
        <v>2027</v>
      </c>
      <c r="S10" s="3941"/>
      <c r="T10" s="608" t="s">
        <v>1822</v>
      </c>
      <c r="U10" s="652"/>
      <c r="V10" s="644" t="s">
        <v>1893</v>
      </c>
      <c r="W10" s="644"/>
      <c r="X10" s="613"/>
      <c r="Y10" s="3489" t="s">
        <v>2425</v>
      </c>
      <c r="Z10" s="653" t="s">
        <v>1898</v>
      </c>
      <c r="AA10" s="3939" t="s">
        <v>2105</v>
      </c>
      <c r="AB10" s="3940"/>
      <c r="AC10" s="3940"/>
      <c r="AD10" s="3940"/>
      <c r="AE10" s="654" t="s">
        <v>1647</v>
      </c>
      <c r="AF10" s="655" t="s">
        <v>1899</v>
      </c>
      <c r="AL10" s="614"/>
      <c r="AM10" s="614"/>
      <c r="AN10" s="614"/>
      <c r="AO10" s="614"/>
      <c r="AP10" s="614"/>
      <c r="AQ10" s="614"/>
      <c r="AR10" s="614"/>
      <c r="AS10" s="614"/>
      <c r="AT10" s="614"/>
      <c r="AU10" s="614"/>
    </row>
    <row r="11" spans="1:54" s="665" customFormat="1" ht="24" customHeight="1" thickTop="1" x14ac:dyDescent="0.3">
      <c r="A11" s="3952" t="s">
        <v>2145</v>
      </c>
      <c r="B11" s="3953"/>
      <c r="C11" s="3925" t="s">
        <v>198</v>
      </c>
      <c r="D11" s="3926"/>
      <c r="E11" s="3947" t="s">
        <v>2139</v>
      </c>
      <c r="F11" s="3948"/>
      <c r="G11" s="656"/>
      <c r="H11" s="657" t="s">
        <v>2097</v>
      </c>
      <c r="I11" s="658" t="s">
        <v>1741</v>
      </c>
      <c r="J11" s="3937" t="s">
        <v>2156</v>
      </c>
      <c r="K11" s="3938"/>
      <c r="L11" s="3938"/>
      <c r="M11" s="3938"/>
      <c r="N11" s="3938"/>
      <c r="O11" s="3938"/>
      <c r="P11" s="659"/>
      <c r="Q11" s="660"/>
      <c r="R11" s="3942">
        <v>4510</v>
      </c>
      <c r="S11" s="3943"/>
      <c r="T11" s="661">
        <v>4114</v>
      </c>
      <c r="U11" s="662"/>
      <c r="V11" s="663"/>
      <c r="W11" s="664">
        <v>4510</v>
      </c>
      <c r="X11" s="661" t="s">
        <v>3</v>
      </c>
      <c r="Y11" s="3490" t="s">
        <v>1994</v>
      </c>
      <c r="Z11" s="666" t="s">
        <v>2107</v>
      </c>
      <c r="AA11" s="3962" t="s">
        <v>2297</v>
      </c>
      <c r="AB11" s="3962"/>
      <c r="AC11" s="3963"/>
      <c r="AD11" s="2269" t="s">
        <v>2230</v>
      </c>
      <c r="AE11" s="2270"/>
      <c r="AF11" s="666" t="s">
        <v>2106</v>
      </c>
      <c r="AG11" s="3955" t="s">
        <v>2052</v>
      </c>
      <c r="AH11" s="3955"/>
      <c r="AI11" s="667"/>
      <c r="AJ11" s="667"/>
      <c r="AK11" s="667"/>
      <c r="AL11" s="667"/>
      <c r="AM11" s="667"/>
      <c r="AN11" s="667"/>
      <c r="AO11" s="667"/>
      <c r="AP11" s="667"/>
      <c r="AQ11" s="667"/>
      <c r="AR11" s="667"/>
      <c r="AS11" s="667"/>
      <c r="AT11" s="667"/>
      <c r="AU11" s="667"/>
      <c r="AV11" s="667"/>
      <c r="AW11" s="667"/>
      <c r="AX11" s="667"/>
      <c r="AY11" s="667"/>
    </row>
    <row r="12" spans="1:54" ht="18" customHeight="1" thickBot="1" x14ac:dyDescent="0.35">
      <c r="A12" s="668" t="s">
        <v>21</v>
      </c>
      <c r="B12" s="669" t="s">
        <v>1739</v>
      </c>
      <c r="C12" s="669" t="s">
        <v>0</v>
      </c>
      <c r="D12" s="670" t="s">
        <v>1</v>
      </c>
      <c r="E12" s="671" t="s">
        <v>2112</v>
      </c>
      <c r="F12" s="672" t="s">
        <v>2148</v>
      </c>
      <c r="G12" s="673" t="s">
        <v>2119</v>
      </c>
      <c r="H12" s="673" t="s">
        <v>1999</v>
      </c>
      <c r="I12" s="674" t="s">
        <v>1741</v>
      </c>
      <c r="J12" s="669" t="s">
        <v>1742</v>
      </c>
      <c r="K12" s="675" t="s">
        <v>2</v>
      </c>
      <c r="L12" s="676" t="s">
        <v>1743</v>
      </c>
      <c r="M12" s="676" t="s">
        <v>1744</v>
      </c>
      <c r="N12" s="677" t="s">
        <v>1745</v>
      </c>
      <c r="O12" s="676" t="s">
        <v>1746</v>
      </c>
      <c r="P12" s="678" t="s">
        <v>1747</v>
      </c>
      <c r="Q12" s="679" t="s">
        <v>1748</v>
      </c>
      <c r="R12" s="680" t="s">
        <v>1749</v>
      </c>
      <c r="S12" s="681" t="s">
        <v>1750</v>
      </c>
      <c r="T12" s="682" t="s">
        <v>1751</v>
      </c>
      <c r="U12" s="683" t="s">
        <v>1752</v>
      </c>
      <c r="V12" s="684" t="s">
        <v>1753</v>
      </c>
      <c r="W12" s="685" t="s">
        <v>1754</v>
      </c>
      <c r="X12" s="686" t="s">
        <v>4</v>
      </c>
      <c r="Y12" s="3488" t="s">
        <v>3</v>
      </c>
      <c r="Z12" s="687"/>
      <c r="AA12" s="688" t="s">
        <v>1739</v>
      </c>
      <c r="AB12" s="689" t="s">
        <v>1755</v>
      </c>
      <c r="AC12" s="689" t="s">
        <v>1756</v>
      </c>
      <c r="AD12" s="690" t="s">
        <v>1757</v>
      </c>
      <c r="AE12" s="691" t="s">
        <v>1740</v>
      </c>
      <c r="AF12" s="692" t="s">
        <v>1758</v>
      </c>
      <c r="AG12" s="693"/>
      <c r="AH12" s="693"/>
      <c r="AI12" s="693"/>
      <c r="AJ12" s="694"/>
      <c r="AK12" s="695"/>
      <c r="AL12" s="695"/>
      <c r="AM12" s="695"/>
      <c r="AN12" s="695"/>
      <c r="AO12" s="695"/>
      <c r="AP12" s="695"/>
      <c r="AQ12" s="695"/>
      <c r="AR12" s="695"/>
      <c r="AS12" s="695"/>
      <c r="AT12" s="695"/>
      <c r="AU12" s="695"/>
      <c r="AV12" s="695"/>
      <c r="AW12" s="695"/>
      <c r="AX12" s="695"/>
      <c r="AY12" s="695"/>
      <c r="AZ12" s="695"/>
      <c r="BA12" s="695"/>
      <c r="BB12" s="695"/>
    </row>
    <row r="13" spans="1:54" ht="19.2" customHeight="1" thickTop="1" x14ac:dyDescent="0.25">
      <c r="A13" s="696">
        <v>1</v>
      </c>
      <c r="B13" s="2233" t="s">
        <v>2187</v>
      </c>
      <c r="C13" s="2225" t="s">
        <v>2422</v>
      </c>
      <c r="D13" s="697"/>
      <c r="E13" s="698" t="e">
        <f>IF(F13="","",LEFT(F13,SEARCH("-",F13)-2))*1</f>
        <v>#VALUE!</v>
      </c>
      <c r="F13" s="699" t="s">
        <v>1856</v>
      </c>
      <c r="G13" s="700" t="s">
        <v>1882</v>
      </c>
      <c r="H13" s="2463" t="s">
        <v>2301</v>
      </c>
      <c r="I13" s="702"/>
      <c r="J13" s="703"/>
      <c r="K13" s="704"/>
      <c r="L13" s="704"/>
      <c r="M13" s="704"/>
      <c r="N13" s="705"/>
      <c r="O13" s="706"/>
      <c r="P13" s="707">
        <f t="shared" ref="P13:P25" si="0">SUM(K13,-L13,M13,-N13,O13)</f>
        <v>0</v>
      </c>
      <c r="Q13" s="708">
        <v>0</v>
      </c>
      <c r="R13" s="709">
        <f>IF(OR('Val-Dép'!I13="note de crédit",  'Val-Dép'!I13="Marchand-amball"), "0",PRODUCT(P13,Q13))</f>
        <v>0</v>
      </c>
      <c r="S13" s="710" t="str">
        <f>IF(('Val-Dép'!I13="Marchand-amball"),  PRODUCT(P13,Q13),"0")</f>
        <v>0</v>
      </c>
      <c r="T13" s="711" t="str">
        <f>IF(('Val-Dép'!I13="note de crédit"),PRODUCT(P13,Q13),"")</f>
        <v/>
      </c>
      <c r="U13" s="712"/>
      <c r="V13" s="713">
        <f>IF(('Val-Dép'!I13&lt;&gt;"note de crédit"),SUM(P13,R13,S13,T13),"")</f>
        <v>0</v>
      </c>
      <c r="W13" s="714">
        <f t="shared" ref="W13:W25" si="1">SUM(R13:S13)</f>
        <v>0</v>
      </c>
      <c r="X13" s="715" t="str">
        <f>IF(('Val-Dép'!I13="note de crédit"),(P13+T13),"")</f>
        <v/>
      </c>
      <c r="Y13" s="716">
        <f t="shared" ref="Y13:Y25" si="2">V13</f>
        <v>0</v>
      </c>
      <c r="Z13" s="717">
        <f t="shared" ref="Z13:Z25" si="3">IF(AF13=ROUND(D13,2),AF13,IF(AF13=ROUND(D13+V13,2),AF13,IF(AF13= ROUND(V13,2),AF13,IF(AF13="",AF13,""))))</f>
        <v>0</v>
      </c>
      <c r="AA13" s="718" t="str">
        <f>$B$13</f>
        <v>C00011</v>
      </c>
      <c r="AB13" s="719" t="str">
        <f>$C$13</f>
        <v>client01</v>
      </c>
      <c r="AC13" s="720"/>
      <c r="AD13" s="721"/>
      <c r="AE13" s="2474" t="str">
        <f>IF(H13="Bq client-1an","400/550",IF(H13="banque",550,IF(H13="Bq client+1an","290/550",IF(H13="Bq post client-1an","400/560",IF(H13="Bq post client+1an","290/560",IF(H13="Caisse client-1an","400/570",IF(H13="Caisse client+1an","290/570",IF(H13="**",0))))))))</f>
        <v>400/550</v>
      </c>
      <c r="AF13" s="2464"/>
      <c r="AG13" s="722" t="str">
        <f>IF((H13&lt;&gt;"**"), "Bq ACTIF", " Banque pas ACTIF")</f>
        <v>Bq ACTIF</v>
      </c>
      <c r="AH13" s="723"/>
      <c r="AI13" s="693"/>
      <c r="AJ13" s="695"/>
      <c r="AK13" s="695"/>
      <c r="AL13" s="695"/>
      <c r="AM13" s="695"/>
      <c r="AN13" s="695"/>
      <c r="AO13" s="695"/>
      <c r="AP13" s="695"/>
      <c r="AQ13" s="695"/>
      <c r="AR13" s="695"/>
      <c r="AS13" s="695"/>
      <c r="AT13" s="695"/>
      <c r="AU13" s="695"/>
      <c r="AV13" s="695"/>
      <c r="AW13" s="695"/>
      <c r="AX13" s="695"/>
      <c r="AY13" s="695"/>
      <c r="AZ13" s="695"/>
      <c r="BA13" s="695"/>
      <c r="BB13" s="695"/>
    </row>
    <row r="14" spans="1:54" ht="14.1" customHeight="1" x14ac:dyDescent="0.25">
      <c r="A14" s="724">
        <v>2</v>
      </c>
      <c r="B14" s="2232" t="s">
        <v>2223</v>
      </c>
      <c r="C14" s="2231" t="s">
        <v>2423</v>
      </c>
      <c r="D14" s="726"/>
      <c r="E14" s="698">
        <f>IF(F14="","",LEFT(F14,SEARCH("-",F14)-2))+0</f>
        <v>70000</v>
      </c>
      <c r="F14" s="699" t="s">
        <v>1850</v>
      </c>
      <c r="G14" s="700" t="s">
        <v>1882</v>
      </c>
      <c r="H14" s="2463" t="s">
        <v>2300</v>
      </c>
      <c r="I14" s="702" t="s">
        <v>2047</v>
      </c>
      <c r="J14" s="727"/>
      <c r="K14" s="728"/>
      <c r="L14" s="728"/>
      <c r="M14" s="728"/>
      <c r="N14" s="729"/>
      <c r="O14" s="730"/>
      <c r="P14" s="707">
        <f t="shared" si="0"/>
        <v>0</v>
      </c>
      <c r="Q14" s="708">
        <v>0</v>
      </c>
      <c r="R14" s="709" t="str">
        <f>IF(OR('Val-Dép'!I14="note de crédit",  'Val-Dép'!I14="Marchand-amball"), "0",PRODUCT(P14,Q14))</f>
        <v>0</v>
      </c>
      <c r="S14" s="710">
        <f>IF(('Val-Dép'!I14="Marchand-amball"),  PRODUCT(P14,Q14),"0")</f>
        <v>0</v>
      </c>
      <c r="T14" s="731" t="str">
        <f>IF(('Val-Dép'!I14="note de crédit"),PRODUCT(P14,Q14),"0")</f>
        <v>0</v>
      </c>
      <c r="U14" s="712"/>
      <c r="V14" s="713">
        <f>IF(('Val-Dép'!I14&lt;&gt;"note de crédit"),SUM(P14,R14,S14,T14),"")</f>
        <v>0</v>
      </c>
      <c r="W14" s="714">
        <f t="shared" si="1"/>
        <v>0</v>
      </c>
      <c r="X14" s="715" t="str">
        <f>IF(('Val-Dép'!I14="note de crédit"),(P14+T14),"")</f>
        <v/>
      </c>
      <c r="Y14" s="716">
        <f t="shared" si="2"/>
        <v>0</v>
      </c>
      <c r="Z14" s="717">
        <f t="shared" si="3"/>
        <v>0</v>
      </c>
      <c r="AA14" s="718" t="str">
        <f>$B$14</f>
        <v>C00022</v>
      </c>
      <c r="AB14" s="719" t="str">
        <f>$C$14</f>
        <v>client02</v>
      </c>
      <c r="AC14" s="732"/>
      <c r="AD14" s="733"/>
      <c r="AE14" s="2474" t="str">
        <f t="shared" ref="AE14:AE25" si="4">IF(H14="Bq client-1an","400/550",IF(H14="Bq client+1an","290/550",IF(H14="Bq post client-1an","400/560",IF(H14="Bq post client+1an","290/560",IF(H14="Caisse client-1an","400/570",IF(H14="Caisse client+1an","290/570",IF(H14="**",0)))))))</f>
        <v>290/550</v>
      </c>
      <c r="AF14" s="734"/>
      <c r="AG14" s="722" t="str">
        <f t="shared" ref="AG14:AG25" si="5">IF((H14&lt;&gt;"**"), "Bq ACTIF", " Banque pas ACTIF")</f>
        <v>Bq ACTIF</v>
      </c>
      <c r="AH14" s="723"/>
      <c r="AI14" s="693"/>
      <c r="AJ14" s="695"/>
      <c r="AK14" s="695"/>
      <c r="AL14" s="695"/>
      <c r="AM14" s="695"/>
      <c r="AN14" s="695"/>
      <c r="AO14" s="695"/>
      <c r="AP14" s="695"/>
      <c r="AQ14" s="695"/>
      <c r="AR14" s="695"/>
      <c r="AS14" s="695"/>
      <c r="AT14" s="695"/>
      <c r="AU14" s="695"/>
      <c r="AV14" s="695"/>
      <c r="AW14" s="695"/>
      <c r="AX14" s="695"/>
      <c r="AY14" s="695"/>
      <c r="AZ14" s="695"/>
      <c r="BA14" s="695"/>
      <c r="BB14" s="695"/>
    </row>
    <row r="15" spans="1:54" ht="14.1" customHeight="1" x14ac:dyDescent="0.25">
      <c r="A15" s="724">
        <v>3</v>
      </c>
      <c r="B15" s="2232" t="s">
        <v>2224</v>
      </c>
      <c r="C15" s="2231"/>
      <c r="D15" s="726"/>
      <c r="E15" s="698">
        <f>IF(F15="","",LEFT(F15,SEARCH("-",F15)-2))*1</f>
        <v>70000</v>
      </c>
      <c r="F15" s="699" t="s">
        <v>1850</v>
      </c>
      <c r="G15" s="700" t="s">
        <v>1882</v>
      </c>
      <c r="H15" s="2463"/>
      <c r="I15" s="702" t="s">
        <v>2073</v>
      </c>
      <c r="J15" s="727"/>
      <c r="K15" s="728"/>
      <c r="L15" s="728"/>
      <c r="M15" s="728"/>
      <c r="N15" s="729"/>
      <c r="O15" s="730"/>
      <c r="P15" s="707">
        <f t="shared" si="0"/>
        <v>0</v>
      </c>
      <c r="Q15" s="708">
        <v>0</v>
      </c>
      <c r="R15" s="709">
        <f>IF(OR('Val-Dép'!I15="note de crédit",  'Val-Dép'!I15="Marchand-amball"), "0",PRODUCT(P15,Q15))</f>
        <v>0</v>
      </c>
      <c r="S15" s="710" t="str">
        <f>IF(('Val-Dép'!I15="Marchand-amball"),  PRODUCT(P15,Q15),"0")</f>
        <v>0</v>
      </c>
      <c r="T15" s="731" t="str">
        <f>IF(('Val-Dép'!I15="note de crédit"),PRODUCT(P15,Q15),"0")</f>
        <v>0</v>
      </c>
      <c r="U15" s="712"/>
      <c r="V15" s="713">
        <f>IF(('Val-Dép'!I15&lt;&gt;"note de crédit"),SUM(P15,R15,S15,T15),"")</f>
        <v>0</v>
      </c>
      <c r="W15" s="714">
        <f t="shared" si="1"/>
        <v>0</v>
      </c>
      <c r="X15" s="715" t="str">
        <f>IF(('Val-Dép'!I15="note de crédit"),(P15+T15),"")</f>
        <v/>
      </c>
      <c r="Y15" s="716">
        <f t="shared" si="2"/>
        <v>0</v>
      </c>
      <c r="Z15" s="717">
        <f t="shared" si="3"/>
        <v>0</v>
      </c>
      <c r="AA15" s="718" t="str">
        <f>$B$15</f>
        <v>C00033</v>
      </c>
      <c r="AB15" s="719">
        <f>$C$15</f>
        <v>0</v>
      </c>
      <c r="AC15" s="732"/>
      <c r="AD15" s="733"/>
      <c r="AE15" s="2474" t="b">
        <f t="shared" si="4"/>
        <v>0</v>
      </c>
      <c r="AF15" s="735"/>
      <c r="AG15" s="722" t="str">
        <f t="shared" si="5"/>
        <v>Bq ACTIF</v>
      </c>
      <c r="AH15" s="723"/>
      <c r="AI15" s="736"/>
      <c r="AJ15" s="695"/>
      <c r="AK15" s="695"/>
      <c r="AL15" s="695"/>
      <c r="AM15" s="695"/>
      <c r="AN15" s="695"/>
      <c r="AO15" s="695"/>
      <c r="AP15" s="695"/>
      <c r="AQ15" s="695"/>
      <c r="AR15" s="695"/>
      <c r="AS15" s="695"/>
      <c r="AT15" s="695"/>
      <c r="AU15" s="695"/>
      <c r="AV15" s="695"/>
      <c r="AW15" s="695"/>
      <c r="AX15" s="695"/>
      <c r="AY15" s="695"/>
      <c r="AZ15" s="695"/>
      <c r="BA15" s="695"/>
      <c r="BB15" s="695"/>
    </row>
    <row r="16" spans="1:54" s="745" customFormat="1" ht="14.1" customHeight="1" x14ac:dyDescent="0.25">
      <c r="A16" s="737">
        <v>4</v>
      </c>
      <c r="B16" s="2232" t="s">
        <v>2225</v>
      </c>
      <c r="C16" s="2231"/>
      <c r="D16" s="726"/>
      <c r="E16" s="698">
        <f t="shared" ref="E16:E25" si="6">IF(F16="","",LEFT(F16,SEARCH("-",F16)-2))*1</f>
        <v>17003</v>
      </c>
      <c r="F16" s="699" t="s">
        <v>2126</v>
      </c>
      <c r="G16" s="700" t="s">
        <v>1882</v>
      </c>
      <c r="H16" s="2463"/>
      <c r="I16" s="702" t="s">
        <v>2073</v>
      </c>
      <c r="J16" s="738"/>
      <c r="K16" s="728"/>
      <c r="L16" s="739"/>
      <c r="M16" s="739"/>
      <c r="N16" s="740"/>
      <c r="O16" s="741"/>
      <c r="P16" s="707">
        <f t="shared" si="0"/>
        <v>0</v>
      </c>
      <c r="Q16" s="708">
        <v>0</v>
      </c>
      <c r="R16" s="709">
        <f>IF(OR('Val-Dép'!I16="note de crédit",  'Val-Dép'!I16="Marchand-amball"), "0",PRODUCT(P16,Q16))</f>
        <v>0</v>
      </c>
      <c r="S16" s="710" t="str">
        <f>IF(('Val-Dép'!I16="Marchand-amball"),  PRODUCT(P16,Q16),"0")</f>
        <v>0</v>
      </c>
      <c r="T16" s="731" t="str">
        <f>IF(('Val-Dép'!I16="note de crédit"),PRODUCT(P16,Q16),"0")</f>
        <v>0</v>
      </c>
      <c r="U16" s="712"/>
      <c r="V16" s="713">
        <f>IF(('Val-Dép'!I16&lt;&gt;"note de crédit"),SUM(P16,R16,S16,T16),"")</f>
        <v>0</v>
      </c>
      <c r="W16" s="714">
        <f t="shared" si="1"/>
        <v>0</v>
      </c>
      <c r="X16" s="715" t="str">
        <f>IF(('Val-Dép'!I16="note de crédit"),(P16+T16),"")</f>
        <v/>
      </c>
      <c r="Y16" s="716">
        <f t="shared" si="2"/>
        <v>0</v>
      </c>
      <c r="Z16" s="717">
        <f t="shared" si="3"/>
        <v>0</v>
      </c>
      <c r="AA16" s="718" t="str">
        <f>$B$16</f>
        <v>C00044</v>
      </c>
      <c r="AB16" s="742">
        <f>$C$16</f>
        <v>0</v>
      </c>
      <c r="AC16" s="732"/>
      <c r="AD16" s="733"/>
      <c r="AE16" s="2474" t="b">
        <f t="shared" si="4"/>
        <v>0</v>
      </c>
      <c r="AF16" s="735"/>
      <c r="AG16" s="722" t="str">
        <f t="shared" si="5"/>
        <v>Bq ACTIF</v>
      </c>
      <c r="AH16" s="723"/>
      <c r="AI16" s="743"/>
      <c r="AJ16" s="744"/>
      <c r="AK16" s="744"/>
      <c r="AL16" s="744"/>
      <c r="AM16" s="744"/>
      <c r="AN16" s="744"/>
      <c r="AO16" s="744"/>
      <c r="AP16" s="744"/>
      <c r="AQ16" s="744"/>
      <c r="AR16" s="744"/>
      <c r="AS16" s="744"/>
      <c r="AT16" s="744"/>
      <c r="AU16" s="744"/>
      <c r="AV16" s="744"/>
      <c r="AW16" s="744"/>
      <c r="AX16" s="744"/>
      <c r="AY16" s="744"/>
      <c r="AZ16" s="744"/>
      <c r="BA16" s="744"/>
      <c r="BB16" s="744"/>
    </row>
    <row r="17" spans="1:54" s="695" customFormat="1" ht="14.1" customHeight="1" x14ac:dyDescent="0.25">
      <c r="A17" s="724">
        <v>5</v>
      </c>
      <c r="B17" s="2232" t="s">
        <v>2226</v>
      </c>
      <c r="C17" s="2231"/>
      <c r="D17" s="746"/>
      <c r="E17" s="698">
        <f t="shared" si="6"/>
        <v>17004</v>
      </c>
      <c r="F17" s="699" t="s">
        <v>2127</v>
      </c>
      <c r="G17" s="700" t="s">
        <v>1882</v>
      </c>
      <c r="H17" s="2463"/>
      <c r="I17" s="702" t="s">
        <v>2073</v>
      </c>
      <c r="J17" s="727"/>
      <c r="K17" s="728"/>
      <c r="L17" s="728"/>
      <c r="M17" s="728"/>
      <c r="N17" s="729"/>
      <c r="O17" s="730"/>
      <c r="P17" s="707">
        <f t="shared" si="0"/>
        <v>0</v>
      </c>
      <c r="Q17" s="708">
        <v>0</v>
      </c>
      <c r="R17" s="709">
        <f>IF(OR('Val-Dép'!I17="note de crédit",  'Val-Dép'!I17="Marchand-amball"), "0",PRODUCT(P17,Q17))</f>
        <v>0</v>
      </c>
      <c r="S17" s="710" t="str">
        <f>IF(('Val-Dép'!I17="Marchand-amball"),  PRODUCT(P17,Q17),"0")</f>
        <v>0</v>
      </c>
      <c r="T17" s="731" t="str">
        <f>IF(('Val-Dép'!I17="note de crédit"),PRODUCT(P17,Q17),"0")</f>
        <v>0</v>
      </c>
      <c r="U17" s="712"/>
      <c r="V17" s="713">
        <f>IF(('Val-Dép'!I17&lt;&gt;"note de crédit"),SUM(P17,R17,S17,T17),"")</f>
        <v>0</v>
      </c>
      <c r="W17" s="714">
        <f t="shared" si="1"/>
        <v>0</v>
      </c>
      <c r="X17" s="715" t="str">
        <f>IF(('Val-Dép'!I17="note de crédit"),(P17+T17),"")</f>
        <v/>
      </c>
      <c r="Y17" s="716">
        <f t="shared" si="2"/>
        <v>0</v>
      </c>
      <c r="Z17" s="717">
        <f t="shared" si="3"/>
        <v>0</v>
      </c>
      <c r="AA17" s="718" t="str">
        <f>$B$17</f>
        <v>C00055</v>
      </c>
      <c r="AB17" s="719">
        <f>$C$17</f>
        <v>0</v>
      </c>
      <c r="AC17" s="732"/>
      <c r="AD17" s="733"/>
      <c r="AE17" s="2474" t="b">
        <f t="shared" si="4"/>
        <v>0</v>
      </c>
      <c r="AF17" s="735"/>
      <c r="AG17" s="722" t="str">
        <f t="shared" si="5"/>
        <v>Bq ACTIF</v>
      </c>
      <c r="AH17" s="723"/>
      <c r="AI17" s="693"/>
    </row>
    <row r="18" spans="1:54" ht="14.1" customHeight="1" x14ac:dyDescent="0.25">
      <c r="A18" s="724">
        <v>6</v>
      </c>
      <c r="B18" s="1946" t="s">
        <v>2182</v>
      </c>
      <c r="C18" s="725"/>
      <c r="D18" s="746"/>
      <c r="E18" s="698">
        <f t="shared" si="6"/>
        <v>17005</v>
      </c>
      <c r="F18" s="699" t="s">
        <v>2128</v>
      </c>
      <c r="G18" s="700" t="s">
        <v>1882</v>
      </c>
      <c r="H18" s="2463"/>
      <c r="I18" s="702" t="s">
        <v>2073</v>
      </c>
      <c r="J18" s="727"/>
      <c r="K18" s="728"/>
      <c r="L18" s="728"/>
      <c r="M18" s="728"/>
      <c r="N18" s="729"/>
      <c r="O18" s="730"/>
      <c r="P18" s="707">
        <f t="shared" si="0"/>
        <v>0</v>
      </c>
      <c r="Q18" s="708">
        <v>0</v>
      </c>
      <c r="R18" s="709">
        <f>IF(OR('Val-Dép'!I18="note de crédit",  'Val-Dép'!I18="Marchand-amball"), "0",PRODUCT(P18,Q18))</f>
        <v>0</v>
      </c>
      <c r="S18" s="710" t="str">
        <f>IF(('Val-Dép'!I18="Marchand-amball"),  PRODUCT(P18,Q18),"0")</f>
        <v>0</v>
      </c>
      <c r="T18" s="731" t="str">
        <f>IF(('Val-Dép'!I18="note de crédit"),PRODUCT(P18,Q18),"0")</f>
        <v>0</v>
      </c>
      <c r="U18" s="712"/>
      <c r="V18" s="713">
        <f>IF(('Val-Dép'!I18&lt;&gt;"note de crédit"),SUM(P18,R18,S18,T18),"")</f>
        <v>0</v>
      </c>
      <c r="W18" s="714">
        <f t="shared" si="1"/>
        <v>0</v>
      </c>
      <c r="X18" s="715" t="str">
        <f>IF(('Val-Dép'!I18="note de crédit"),(P18+T18),"")</f>
        <v/>
      </c>
      <c r="Y18" s="716">
        <f t="shared" si="2"/>
        <v>0</v>
      </c>
      <c r="Z18" s="717">
        <f t="shared" si="3"/>
        <v>0</v>
      </c>
      <c r="AA18" s="718" t="str">
        <f>$B$18</f>
        <v>C0006</v>
      </c>
      <c r="AB18" s="719">
        <f>$C$18</f>
        <v>0</v>
      </c>
      <c r="AC18" s="732"/>
      <c r="AD18" s="733"/>
      <c r="AE18" s="2474" t="b">
        <f t="shared" si="4"/>
        <v>0</v>
      </c>
      <c r="AF18" s="735"/>
      <c r="AG18" s="722" t="str">
        <f t="shared" si="5"/>
        <v>Bq ACTIF</v>
      </c>
      <c r="AH18" s="723"/>
      <c r="AI18" s="693"/>
      <c r="AJ18" s="695"/>
      <c r="AK18" s="695"/>
      <c r="AL18" s="695"/>
      <c r="AM18" s="695"/>
      <c r="AN18" s="695"/>
      <c r="AO18" s="695"/>
      <c r="AP18" s="695"/>
      <c r="AQ18" s="695"/>
      <c r="AR18" s="695"/>
      <c r="AS18" s="695"/>
      <c r="AT18" s="695"/>
      <c r="AU18" s="695"/>
      <c r="AV18" s="695"/>
      <c r="AW18" s="695"/>
      <c r="AX18" s="695"/>
      <c r="AY18" s="695"/>
      <c r="AZ18" s="695"/>
      <c r="BA18" s="695"/>
      <c r="BB18" s="695"/>
    </row>
    <row r="19" spans="1:54" s="748" customFormat="1" ht="14.1" customHeight="1" x14ac:dyDescent="0.25">
      <c r="A19" s="747">
        <v>7</v>
      </c>
      <c r="B19" s="1946" t="s">
        <v>2183</v>
      </c>
      <c r="C19" s="725"/>
      <c r="D19" s="746"/>
      <c r="E19" s="698">
        <f t="shared" si="6"/>
        <v>17006</v>
      </c>
      <c r="F19" s="699" t="s">
        <v>2129</v>
      </c>
      <c r="G19" s="700" t="s">
        <v>1882</v>
      </c>
      <c r="H19" s="2463"/>
      <c r="I19" s="702" t="s">
        <v>2073</v>
      </c>
      <c r="J19" s="727"/>
      <c r="K19" s="728"/>
      <c r="L19" s="728"/>
      <c r="M19" s="728"/>
      <c r="N19" s="729"/>
      <c r="O19" s="730"/>
      <c r="P19" s="707">
        <f t="shared" si="0"/>
        <v>0</v>
      </c>
      <c r="Q19" s="708">
        <v>0</v>
      </c>
      <c r="R19" s="709">
        <f>IF(OR('Val-Dép'!I19="note de crédit",  'Val-Dép'!I19="Marchand-amball"), "0",PRODUCT(P19,Q19))</f>
        <v>0</v>
      </c>
      <c r="S19" s="710" t="str">
        <f>IF(('Val-Dép'!I19="Marchand-amball"),  PRODUCT(P19,Q19),"0")</f>
        <v>0</v>
      </c>
      <c r="T19" s="731" t="str">
        <f>IF(('Val-Dép'!I19="note de crédit"),PRODUCT(P19,Q19),"0")</f>
        <v>0</v>
      </c>
      <c r="U19" s="712"/>
      <c r="V19" s="713">
        <f>IF(('Val-Dép'!I19&lt;&gt;"note de crédit"),SUM(P19,R19,S19,T19),"")</f>
        <v>0</v>
      </c>
      <c r="W19" s="714">
        <f t="shared" si="1"/>
        <v>0</v>
      </c>
      <c r="X19" s="715" t="str">
        <f>IF(('Val-Dép'!I19="note de crédit"),(P19+T19),"")</f>
        <v/>
      </c>
      <c r="Y19" s="716">
        <f t="shared" si="2"/>
        <v>0</v>
      </c>
      <c r="Z19" s="717">
        <f t="shared" si="3"/>
        <v>0</v>
      </c>
      <c r="AA19" s="718" t="str">
        <f>$B$19</f>
        <v>C0007</v>
      </c>
      <c r="AB19" s="719">
        <f>$C$19</f>
        <v>0</v>
      </c>
      <c r="AC19" s="732"/>
      <c r="AD19" s="733"/>
      <c r="AE19" s="2474" t="b">
        <f t="shared" si="4"/>
        <v>0</v>
      </c>
      <c r="AF19" s="735"/>
      <c r="AG19" s="722" t="str">
        <f t="shared" si="5"/>
        <v>Bq ACTIF</v>
      </c>
      <c r="AH19" s="723"/>
      <c r="AI19" s="736"/>
    </row>
    <row r="20" spans="1:54" ht="14.1" customHeight="1" x14ac:dyDescent="0.25">
      <c r="A20" s="724">
        <v>8</v>
      </c>
      <c r="B20" s="1946" t="s">
        <v>2184</v>
      </c>
      <c r="C20" s="725"/>
      <c r="D20" s="746"/>
      <c r="E20" s="698">
        <f t="shared" si="6"/>
        <v>17007</v>
      </c>
      <c r="F20" s="699" t="s">
        <v>2130</v>
      </c>
      <c r="G20" s="700" t="s">
        <v>1882</v>
      </c>
      <c r="H20" s="2463"/>
      <c r="I20" s="702" t="s">
        <v>2073</v>
      </c>
      <c r="J20" s="727"/>
      <c r="K20" s="728"/>
      <c r="L20" s="728"/>
      <c r="M20" s="728"/>
      <c r="N20" s="729"/>
      <c r="O20" s="730"/>
      <c r="P20" s="707">
        <f t="shared" si="0"/>
        <v>0</v>
      </c>
      <c r="Q20" s="708">
        <v>0</v>
      </c>
      <c r="R20" s="709">
        <f>IF(OR('Val-Dép'!I20="note de crédit",  'Val-Dép'!I20="Marchand-amball"), "0",PRODUCT(P20,Q20))</f>
        <v>0</v>
      </c>
      <c r="S20" s="710" t="str">
        <f>IF(('Val-Dép'!I20="Marchand-amball"),  PRODUCT(P20,Q20),"0")</f>
        <v>0</v>
      </c>
      <c r="T20" s="731" t="str">
        <f>IF(('Val-Dép'!I20="note de crédit"),PRODUCT(P20,Q20),"0")</f>
        <v>0</v>
      </c>
      <c r="U20" s="712"/>
      <c r="V20" s="713">
        <f>IF(('Val-Dép'!I20&lt;&gt;"note de crédit"),SUM(P20,R20,S20,T20),"")</f>
        <v>0</v>
      </c>
      <c r="W20" s="714">
        <f t="shared" si="1"/>
        <v>0</v>
      </c>
      <c r="X20" s="715" t="str">
        <f>IF(('Val-Dép'!I20="note de crédit"),(P20+T20),"")</f>
        <v/>
      </c>
      <c r="Y20" s="716">
        <f t="shared" si="2"/>
        <v>0</v>
      </c>
      <c r="Z20" s="717">
        <f t="shared" si="3"/>
        <v>0</v>
      </c>
      <c r="AA20" s="718" t="str">
        <f>$B$20</f>
        <v>C0008</v>
      </c>
      <c r="AB20" s="719">
        <f>$C$20</f>
        <v>0</v>
      </c>
      <c r="AC20" s="732"/>
      <c r="AD20" s="733"/>
      <c r="AE20" s="2474" t="b">
        <f t="shared" si="4"/>
        <v>0</v>
      </c>
      <c r="AF20" s="735"/>
      <c r="AG20" s="722" t="str">
        <f t="shared" si="5"/>
        <v>Bq ACTIF</v>
      </c>
      <c r="AH20" s="723"/>
      <c r="AI20" s="693"/>
      <c r="AJ20" s="695"/>
      <c r="AK20" s="695"/>
      <c r="AL20" s="695"/>
      <c r="AM20" s="695"/>
      <c r="AN20" s="695"/>
      <c r="AO20" s="695"/>
      <c r="AP20" s="695"/>
      <c r="AQ20" s="695"/>
      <c r="AR20" s="695"/>
      <c r="AS20" s="695"/>
      <c r="AT20" s="695"/>
      <c r="AU20" s="695"/>
      <c r="AV20" s="695"/>
      <c r="AW20" s="695"/>
      <c r="AX20" s="695"/>
      <c r="AY20" s="695"/>
      <c r="AZ20" s="695"/>
      <c r="BA20" s="695"/>
      <c r="BB20" s="695"/>
    </row>
    <row r="21" spans="1:54" ht="14.1" customHeight="1" x14ac:dyDescent="0.25">
      <c r="A21" s="724" t="s">
        <v>1760</v>
      </c>
      <c r="B21" s="1946" t="s">
        <v>2185</v>
      </c>
      <c r="C21" s="725"/>
      <c r="D21" s="746"/>
      <c r="E21" s="698">
        <f t="shared" si="6"/>
        <v>17008</v>
      </c>
      <c r="F21" s="699" t="s">
        <v>2132</v>
      </c>
      <c r="G21" s="700" t="s">
        <v>1882</v>
      </c>
      <c r="H21" s="2463"/>
      <c r="I21" s="702" t="s">
        <v>2073</v>
      </c>
      <c r="J21" s="727"/>
      <c r="K21" s="728"/>
      <c r="L21" s="728"/>
      <c r="M21" s="728"/>
      <c r="N21" s="729"/>
      <c r="O21" s="730"/>
      <c r="P21" s="707">
        <f t="shared" si="0"/>
        <v>0</v>
      </c>
      <c r="Q21" s="708">
        <v>0</v>
      </c>
      <c r="R21" s="709">
        <f>IF(OR('Val-Dép'!I21="note de crédit",  'Val-Dép'!I21="Marchand-amball"), "0",PRODUCT(P21,Q21))</f>
        <v>0</v>
      </c>
      <c r="S21" s="710" t="str">
        <f>IF(('Val-Dép'!I21="Marchand-amball"),  PRODUCT(P21,Q21),"0")</f>
        <v>0</v>
      </c>
      <c r="T21" s="731" t="str">
        <f>IF(('Val-Dép'!I21="note de crédit"),PRODUCT(P21,Q21),"0")</f>
        <v>0</v>
      </c>
      <c r="U21" s="712"/>
      <c r="V21" s="713">
        <f>IF(('Val-Dép'!I21&lt;&gt;"note de crédit"),SUM(P21,R21,S21,T21),"")</f>
        <v>0</v>
      </c>
      <c r="W21" s="714">
        <f t="shared" si="1"/>
        <v>0</v>
      </c>
      <c r="X21" s="715" t="str">
        <f>IF(('Val-Dép'!I21="note de crédit"),(P21+T21),"")</f>
        <v/>
      </c>
      <c r="Y21" s="716">
        <f t="shared" si="2"/>
        <v>0</v>
      </c>
      <c r="Z21" s="717">
        <f t="shared" si="3"/>
        <v>0</v>
      </c>
      <c r="AA21" s="718" t="str">
        <f>$B$21</f>
        <v>C0009</v>
      </c>
      <c r="AB21" s="719">
        <f>$C$21</f>
        <v>0</v>
      </c>
      <c r="AC21" s="732"/>
      <c r="AD21" s="733"/>
      <c r="AE21" s="2474" t="b">
        <f t="shared" si="4"/>
        <v>0</v>
      </c>
      <c r="AF21" s="735"/>
      <c r="AG21" s="722" t="str">
        <f t="shared" si="5"/>
        <v>Bq ACTIF</v>
      </c>
      <c r="AH21" s="723"/>
      <c r="AI21" s="693"/>
      <c r="AJ21" s="695"/>
      <c r="AK21" s="695"/>
      <c r="AL21" s="695"/>
      <c r="AM21" s="695"/>
      <c r="AN21" s="695"/>
      <c r="AO21" s="695"/>
      <c r="AP21" s="695"/>
      <c r="AQ21" s="695"/>
      <c r="AR21" s="695"/>
      <c r="AS21" s="695"/>
      <c r="AT21" s="695"/>
      <c r="AU21" s="695"/>
      <c r="AV21" s="695"/>
      <c r="AW21" s="695"/>
      <c r="AX21" s="695"/>
      <c r="AY21" s="695"/>
      <c r="AZ21" s="695"/>
      <c r="BA21" s="695"/>
      <c r="BB21" s="695"/>
    </row>
    <row r="22" spans="1:54" ht="14.1" customHeight="1" x14ac:dyDescent="0.25">
      <c r="A22" s="724" t="s">
        <v>1761</v>
      </c>
      <c r="B22" s="1946" t="s">
        <v>2186</v>
      </c>
      <c r="C22" s="725"/>
      <c r="D22" s="746"/>
      <c r="E22" s="698">
        <f t="shared" si="6"/>
        <v>17009</v>
      </c>
      <c r="F22" s="699" t="s">
        <v>2133</v>
      </c>
      <c r="G22" s="700" t="s">
        <v>1882</v>
      </c>
      <c r="H22" s="2463"/>
      <c r="I22" s="702" t="s">
        <v>2073</v>
      </c>
      <c r="J22" s="727"/>
      <c r="K22" s="728"/>
      <c r="L22" s="728"/>
      <c r="M22" s="728"/>
      <c r="N22" s="729"/>
      <c r="O22" s="730"/>
      <c r="P22" s="707">
        <f t="shared" si="0"/>
        <v>0</v>
      </c>
      <c r="Q22" s="708">
        <v>0</v>
      </c>
      <c r="R22" s="709">
        <f>IF(OR('Val-Dép'!I22="note de crédit",  'Val-Dép'!I22="Marchand-amball"), "0",PRODUCT(P22,Q22))</f>
        <v>0</v>
      </c>
      <c r="S22" s="710" t="str">
        <f>IF(('Val-Dép'!I22="Marchand-amball"),  PRODUCT(P22,Q22),"0")</f>
        <v>0</v>
      </c>
      <c r="T22" s="731" t="str">
        <f>IF(('Val-Dép'!I22="note de crédit"),PRODUCT(P22,Q22),"0")</f>
        <v>0</v>
      </c>
      <c r="U22" s="712"/>
      <c r="V22" s="713">
        <f>IF(('Val-Dép'!I22&lt;&gt;"note de crédit"),SUM(P22,R22,S22,T22),"")</f>
        <v>0</v>
      </c>
      <c r="W22" s="714">
        <f t="shared" si="1"/>
        <v>0</v>
      </c>
      <c r="X22" s="715" t="str">
        <f>IF(('Val-Dép'!I22="note de crédit"),(P22+T22),"")</f>
        <v/>
      </c>
      <c r="Y22" s="716">
        <f t="shared" si="2"/>
        <v>0</v>
      </c>
      <c r="Z22" s="717">
        <f t="shared" si="3"/>
        <v>0</v>
      </c>
      <c r="AA22" s="718" t="str">
        <f>$B$22</f>
        <v>C00010</v>
      </c>
      <c r="AB22" s="719">
        <f>$C$22</f>
        <v>0</v>
      </c>
      <c r="AC22" s="732"/>
      <c r="AD22" s="733"/>
      <c r="AE22" s="2474" t="b">
        <f t="shared" si="4"/>
        <v>0</v>
      </c>
      <c r="AF22" s="735"/>
      <c r="AG22" s="722" t="str">
        <f t="shared" si="5"/>
        <v>Bq ACTIF</v>
      </c>
      <c r="AH22" s="723"/>
      <c r="AI22" s="693"/>
      <c r="AJ22" s="695"/>
      <c r="AK22" s="695"/>
      <c r="AL22" s="695"/>
      <c r="AM22" s="695"/>
      <c r="AN22" s="695"/>
      <c r="AO22" s="695"/>
      <c r="AP22" s="695"/>
      <c r="AQ22" s="695"/>
      <c r="AR22" s="695"/>
      <c r="AS22" s="695"/>
      <c r="AT22" s="695"/>
      <c r="AU22" s="695"/>
      <c r="AV22" s="695"/>
      <c r="AW22" s="695"/>
      <c r="AX22" s="695"/>
      <c r="AY22" s="695"/>
      <c r="AZ22" s="695"/>
      <c r="BA22" s="695"/>
      <c r="BB22" s="695"/>
    </row>
    <row r="23" spans="1:54" ht="14.1" customHeight="1" x14ac:dyDescent="0.25">
      <c r="A23" s="724" t="s">
        <v>1762</v>
      </c>
      <c r="B23" s="1946" t="s">
        <v>2187</v>
      </c>
      <c r="C23" s="725"/>
      <c r="D23" s="746"/>
      <c r="E23" s="698">
        <f t="shared" si="6"/>
        <v>17010</v>
      </c>
      <c r="F23" s="699" t="s">
        <v>2134</v>
      </c>
      <c r="G23" s="700" t="s">
        <v>1882</v>
      </c>
      <c r="H23" s="2463"/>
      <c r="I23" s="702" t="s">
        <v>2073</v>
      </c>
      <c r="J23" s="727"/>
      <c r="K23" s="728"/>
      <c r="L23" s="728"/>
      <c r="M23" s="728"/>
      <c r="N23" s="729"/>
      <c r="O23" s="730"/>
      <c r="P23" s="707">
        <f t="shared" si="0"/>
        <v>0</v>
      </c>
      <c r="Q23" s="708">
        <v>0</v>
      </c>
      <c r="R23" s="709">
        <f>IF(OR('Val-Dép'!I23="note de crédit",  'Val-Dép'!I23="Marchand-amball"), "0",PRODUCT(P23,Q23))</f>
        <v>0</v>
      </c>
      <c r="S23" s="710" t="str">
        <f>IF(('Val-Dép'!I23="Marchand-amball"),  PRODUCT(P23,Q23),"0")</f>
        <v>0</v>
      </c>
      <c r="T23" s="731" t="str">
        <f>IF(('Val-Dép'!I23="note de crédit"),PRODUCT(P23,Q23),"0")</f>
        <v>0</v>
      </c>
      <c r="U23" s="712"/>
      <c r="V23" s="713">
        <f>IF(('Val-Dép'!I23&lt;&gt;"note de crédit"),SUM(P23,R23,S23,T23),"")</f>
        <v>0</v>
      </c>
      <c r="W23" s="714">
        <f t="shared" si="1"/>
        <v>0</v>
      </c>
      <c r="X23" s="715" t="str">
        <f>IF(('Val-Dép'!I23="note de crédit"),(P23+T23),"")</f>
        <v/>
      </c>
      <c r="Y23" s="716">
        <f t="shared" si="2"/>
        <v>0</v>
      </c>
      <c r="Z23" s="717">
        <f t="shared" si="3"/>
        <v>0</v>
      </c>
      <c r="AA23" s="718" t="str">
        <f>$B$23</f>
        <v>C00011</v>
      </c>
      <c r="AB23" s="719">
        <f>$C$23</f>
        <v>0</v>
      </c>
      <c r="AC23" s="732"/>
      <c r="AD23" s="733"/>
      <c r="AE23" s="2474" t="b">
        <f t="shared" si="4"/>
        <v>0</v>
      </c>
      <c r="AF23" s="735"/>
      <c r="AG23" s="722" t="str">
        <f t="shared" si="5"/>
        <v>Bq ACTIF</v>
      </c>
      <c r="AH23" s="723"/>
      <c r="AI23" s="693"/>
      <c r="AJ23" s="695"/>
      <c r="AK23" s="695"/>
      <c r="AL23" s="695"/>
      <c r="AM23" s="695"/>
      <c r="AN23" s="695"/>
      <c r="AO23" s="695"/>
      <c r="AP23" s="695"/>
      <c r="AQ23" s="695"/>
      <c r="AR23" s="695"/>
      <c r="AS23" s="695"/>
      <c r="AT23" s="695"/>
      <c r="AU23" s="695"/>
      <c r="AV23" s="695"/>
      <c r="AW23" s="695"/>
      <c r="AX23" s="695"/>
      <c r="AY23" s="695"/>
      <c r="AZ23" s="695"/>
      <c r="BA23" s="695"/>
      <c r="BB23" s="695"/>
    </row>
    <row r="24" spans="1:54" ht="14.1" customHeight="1" x14ac:dyDescent="0.25">
      <c r="A24" s="724" t="s">
        <v>1763</v>
      </c>
      <c r="B24" s="1946" t="s">
        <v>2188</v>
      </c>
      <c r="C24" s="725"/>
      <c r="D24" s="746"/>
      <c r="E24" s="698">
        <f t="shared" si="6"/>
        <v>17011</v>
      </c>
      <c r="F24" s="699" t="s">
        <v>2135</v>
      </c>
      <c r="G24" s="700" t="s">
        <v>1882</v>
      </c>
      <c r="H24" s="2463"/>
      <c r="I24" s="702" t="s">
        <v>2073</v>
      </c>
      <c r="J24" s="727"/>
      <c r="K24" s="728"/>
      <c r="L24" s="728"/>
      <c r="M24" s="728"/>
      <c r="N24" s="729"/>
      <c r="O24" s="730"/>
      <c r="P24" s="707">
        <f t="shared" si="0"/>
        <v>0</v>
      </c>
      <c r="Q24" s="708">
        <v>0</v>
      </c>
      <c r="R24" s="709">
        <f>IF(OR('Val-Dép'!I24="note de crédit",  'Val-Dép'!I24="Marchand-amball"), "0",PRODUCT(P24,Q24))</f>
        <v>0</v>
      </c>
      <c r="S24" s="710" t="str">
        <f>IF(('Val-Dép'!I24="Marchand-amball"),  PRODUCT(P24,Q24),"0")</f>
        <v>0</v>
      </c>
      <c r="T24" s="731" t="str">
        <f>IF(('Val-Dép'!I24="note de crédit"),PRODUCT(P24,Q24),"0")</f>
        <v>0</v>
      </c>
      <c r="U24" s="712"/>
      <c r="V24" s="713">
        <f>IF(('Val-Dép'!I24&lt;&gt;"note de crédit"),SUM(P24,R24,S24,T24),"")</f>
        <v>0</v>
      </c>
      <c r="W24" s="714">
        <f t="shared" si="1"/>
        <v>0</v>
      </c>
      <c r="X24" s="715" t="str">
        <f>IF(('Val-Dép'!I24="note de crédit"),(P24+T24),"")</f>
        <v/>
      </c>
      <c r="Y24" s="716">
        <f t="shared" si="2"/>
        <v>0</v>
      </c>
      <c r="Z24" s="717">
        <f t="shared" si="3"/>
        <v>0</v>
      </c>
      <c r="AA24" s="718" t="str">
        <f>$B$24</f>
        <v>C00012</v>
      </c>
      <c r="AB24" s="719">
        <f>$C$24</f>
        <v>0</v>
      </c>
      <c r="AC24" s="732"/>
      <c r="AD24" s="733"/>
      <c r="AE24" s="2474" t="b">
        <f t="shared" si="4"/>
        <v>0</v>
      </c>
      <c r="AF24" s="735"/>
      <c r="AG24" s="722" t="str">
        <f t="shared" si="5"/>
        <v>Bq ACTIF</v>
      </c>
      <c r="AH24" s="723"/>
      <c r="AI24" s="693"/>
      <c r="AJ24" s="695"/>
      <c r="AK24" s="695"/>
      <c r="AL24" s="695"/>
      <c r="AM24" s="695"/>
      <c r="AN24" s="695"/>
      <c r="AO24" s="695"/>
      <c r="AP24" s="695"/>
      <c r="AQ24" s="695"/>
      <c r="AR24" s="695"/>
      <c r="AS24" s="695"/>
      <c r="AT24" s="695"/>
      <c r="AU24" s="695"/>
      <c r="AV24" s="695"/>
      <c r="AW24" s="695"/>
      <c r="AX24" s="695"/>
      <c r="AY24" s="695"/>
      <c r="AZ24" s="695"/>
      <c r="BA24" s="695"/>
      <c r="BB24" s="695"/>
    </row>
    <row r="25" spans="1:54" ht="14.1" customHeight="1" thickBot="1" x14ac:dyDescent="0.3">
      <c r="A25" s="749" t="s">
        <v>16</v>
      </c>
      <c r="B25" s="1947" t="s">
        <v>2222</v>
      </c>
      <c r="C25" s="750"/>
      <c r="D25" s="751"/>
      <c r="E25" s="698">
        <f t="shared" si="6"/>
        <v>17012</v>
      </c>
      <c r="F25" s="699" t="s">
        <v>2136</v>
      </c>
      <c r="G25" s="700" t="s">
        <v>1882</v>
      </c>
      <c r="H25" s="2463"/>
      <c r="I25" s="702" t="s">
        <v>2073</v>
      </c>
      <c r="J25" s="752"/>
      <c r="K25" s="753"/>
      <c r="L25" s="753"/>
      <c r="M25" s="753"/>
      <c r="N25" s="754"/>
      <c r="O25" s="755"/>
      <c r="P25" s="756">
        <f t="shared" si="0"/>
        <v>0</v>
      </c>
      <c r="Q25" s="708">
        <v>0</v>
      </c>
      <c r="R25" s="709">
        <f>IF(OR('Val-Dép'!I25="note de crédit",  'Val-Dép'!I25="Marchand-amball"), "0",PRODUCT(P25,Q25))</f>
        <v>0</v>
      </c>
      <c r="S25" s="710" t="str">
        <f>IF(('Val-Dép'!I25="Marchand-amball"),  PRODUCT(P25,Q25),"0")</f>
        <v>0</v>
      </c>
      <c r="T25" s="757" t="str">
        <f>IF(('Val-Dép'!I25="note de crédit"),PRODUCT(P25,Q25),"0")</f>
        <v>0</v>
      </c>
      <c r="U25" s="712"/>
      <c r="V25" s="713">
        <f>IF(('Val-Dép'!I25&lt;&gt;"note de crédit"),SUM(P25,R25,S25,T25),"")</f>
        <v>0</v>
      </c>
      <c r="W25" s="758">
        <f t="shared" si="1"/>
        <v>0</v>
      </c>
      <c r="X25" s="759" t="str">
        <f>IF(('Val-Dép'!I25="note de crédit"),(P25+T25),"")</f>
        <v/>
      </c>
      <c r="Y25" s="716">
        <f t="shared" si="2"/>
        <v>0</v>
      </c>
      <c r="Z25" s="717">
        <f t="shared" si="3"/>
        <v>0</v>
      </c>
      <c r="AA25" s="718" t="str">
        <f>$B$25</f>
        <v>C00013</v>
      </c>
      <c r="AB25" s="760">
        <f>$C$25</f>
        <v>0</v>
      </c>
      <c r="AC25" s="761"/>
      <c r="AD25" s="762"/>
      <c r="AE25" s="2474" t="b">
        <f t="shared" si="4"/>
        <v>0</v>
      </c>
      <c r="AF25" s="763"/>
      <c r="AG25" s="722" t="str">
        <f t="shared" si="5"/>
        <v>Bq ACTIF</v>
      </c>
      <c r="AH25" s="723"/>
      <c r="AI25" s="693"/>
      <c r="AJ25" s="695"/>
      <c r="AK25" s="695"/>
      <c r="AL25" s="695"/>
      <c r="AM25" s="695"/>
      <c r="AN25" s="695"/>
      <c r="AO25" s="695"/>
      <c r="AP25" s="695"/>
      <c r="AQ25" s="695"/>
      <c r="AR25" s="695"/>
      <c r="AS25" s="695"/>
      <c r="AT25" s="695"/>
      <c r="AU25" s="695"/>
      <c r="AV25" s="695"/>
      <c r="AW25" s="695"/>
      <c r="AX25" s="695"/>
      <c r="AY25" s="695"/>
      <c r="AZ25" s="695"/>
      <c r="BA25" s="695"/>
      <c r="BB25" s="695"/>
    </row>
    <row r="26" spans="1:54" s="792" customFormat="1" ht="16.5" customHeight="1" thickTop="1" thickBot="1" x14ac:dyDescent="0.35">
      <c r="A26" s="764" t="s">
        <v>17</v>
      </c>
      <c r="B26" s="765" t="s">
        <v>11</v>
      </c>
      <c r="C26" s="766"/>
      <c r="D26" s="767">
        <f>SUM(D13:D25)</f>
        <v>0</v>
      </c>
      <c r="E26" s="768"/>
      <c r="F26" s="769"/>
      <c r="G26" s="769"/>
      <c r="H26" s="770" t="s">
        <v>309</v>
      </c>
      <c r="I26" s="771"/>
      <c r="J26" s="772"/>
      <c r="K26" s="773">
        <f>SUM(K13:K25)</f>
        <v>0</v>
      </c>
      <c r="L26" s="773"/>
      <c r="M26" s="773"/>
      <c r="N26" s="774"/>
      <c r="O26" s="775"/>
      <c r="P26" s="776">
        <f>SUM(P13:P25)</f>
        <v>0</v>
      </c>
      <c r="Q26" s="777"/>
      <c r="R26" s="778">
        <f>SUM(R13:R25)</f>
        <v>0</v>
      </c>
      <c r="S26" s="779">
        <f>SUM(S13:S25)</f>
        <v>0</v>
      </c>
      <c r="T26" s="780">
        <f>SUM(T13:T25)</f>
        <v>0</v>
      </c>
      <c r="U26" s="781"/>
      <c r="V26" s="782">
        <f>SUM(V13:V25)</f>
        <v>0</v>
      </c>
      <c r="W26" s="783">
        <f>SUM(W13:W23)</f>
        <v>0</v>
      </c>
      <c r="X26" s="784">
        <f>SUM(X13:X25)</f>
        <v>0</v>
      </c>
      <c r="Y26" s="785">
        <f>SUM(Y13:Y25)</f>
        <v>0</v>
      </c>
      <c r="Z26" s="786">
        <f>SUM(Z13:Z25)</f>
        <v>0</v>
      </c>
      <c r="AA26" s="787" t="str">
        <f>B26</f>
        <v>TOTAL</v>
      </c>
      <c r="AB26" s="787"/>
      <c r="AC26" s="3960" t="s">
        <v>2231</v>
      </c>
      <c r="AD26" s="3961"/>
      <c r="AE26" s="788"/>
      <c r="AF26" s="789">
        <f>SUM(AF13:AF25)</f>
        <v>0</v>
      </c>
      <c r="AG26" s="790"/>
      <c r="AH26" s="791"/>
      <c r="AL26" s="748"/>
      <c r="AM26" s="748"/>
      <c r="AN26" s="748"/>
      <c r="AO26" s="748"/>
      <c r="AP26" s="748"/>
      <c r="AQ26" s="748"/>
      <c r="AR26" s="748"/>
      <c r="AS26" s="748"/>
      <c r="AT26" s="748"/>
      <c r="AU26" s="748"/>
      <c r="AV26" s="748"/>
      <c r="AW26" s="748"/>
      <c r="AX26" s="748"/>
      <c r="AY26" s="748"/>
      <c r="AZ26" s="748"/>
      <c r="BA26" s="748"/>
      <c r="BB26" s="748"/>
    </row>
    <row r="27" spans="1:54" ht="25.5" customHeight="1" thickTop="1" thickBot="1" x14ac:dyDescent="0.4">
      <c r="A27" s="793" t="s">
        <v>2053</v>
      </c>
      <c r="B27" s="3944" t="str">
        <f>IF(ROUND('VAL-INIT'!F79,2)=ROUND(D26,2)," V.I.Clients correcte","REVOIR.V.I. .clients")</f>
        <v>REVOIR.V.I. .clients</v>
      </c>
      <c r="C27" s="3945"/>
      <c r="D27" s="3946"/>
      <c r="E27" s="794" t="s">
        <v>2054</v>
      </c>
      <c r="F27" s="795"/>
      <c r="G27" s="796"/>
      <c r="H27" s="796"/>
      <c r="I27" s="797"/>
      <c r="J27" s="3931" t="s">
        <v>2113</v>
      </c>
      <c r="K27" s="3932"/>
      <c r="L27" s="3932"/>
      <c r="M27" s="3932"/>
      <c r="N27" s="3932"/>
      <c r="O27" s="3933"/>
      <c r="P27" s="798" t="s">
        <v>1764</v>
      </c>
      <c r="Q27" s="799"/>
      <c r="R27" s="799" t="s">
        <v>363</v>
      </c>
      <c r="S27" s="800"/>
      <c r="T27" s="801"/>
      <c r="U27" s="802" t="s">
        <v>1765</v>
      </c>
      <c r="V27" s="600"/>
      <c r="W27" s="600"/>
      <c r="X27" s="803" t="s">
        <v>1905</v>
      </c>
      <c r="Y27" s="804"/>
      <c r="Z27" s="805"/>
      <c r="AA27" s="801"/>
      <c r="AB27" s="600"/>
      <c r="AC27" s="600"/>
      <c r="AF27" s="806" t="s">
        <v>1766</v>
      </c>
      <c r="AI27" s="3927" t="s">
        <v>2110</v>
      </c>
      <c r="AJ27" s="3928"/>
      <c r="AM27" s="748"/>
      <c r="AN27" s="748"/>
      <c r="AO27" s="748"/>
      <c r="AP27" s="748"/>
      <c r="AQ27" s="748"/>
      <c r="AR27" s="748"/>
      <c r="AS27" s="748"/>
      <c r="AT27" s="748"/>
      <c r="AU27" s="748"/>
      <c r="AV27" s="748"/>
      <c r="AW27" s="695"/>
    </row>
    <row r="28" spans="1:54" ht="21" customHeight="1" thickTop="1" thickBot="1" x14ac:dyDescent="0.4">
      <c r="A28" s="807"/>
      <c r="B28" s="3964" t="s">
        <v>2070</v>
      </c>
      <c r="C28" s="3965"/>
      <c r="D28" s="808">
        <f>'VAL-INIT'!F79</f>
        <v>25000</v>
      </c>
      <c r="E28" s="809"/>
      <c r="F28" s="3957" t="s">
        <v>2122</v>
      </c>
      <c r="G28" s="3957"/>
      <c r="H28" s="3957"/>
      <c r="I28" s="3957"/>
      <c r="J28" s="810"/>
      <c r="K28" s="810"/>
      <c r="L28" s="810"/>
      <c r="M28" s="811"/>
      <c r="N28" s="3958" t="s">
        <v>1768</v>
      </c>
      <c r="O28" s="3958"/>
      <c r="P28" s="812">
        <f>SUM(R26:T26)</f>
        <v>0</v>
      </c>
      <c r="Q28" s="813" t="s">
        <v>1769</v>
      </c>
      <c r="R28" s="814">
        <v>-103.07</v>
      </c>
      <c r="S28" s="815"/>
      <c r="T28" s="816"/>
      <c r="U28" s="816" t="s">
        <v>1770</v>
      </c>
      <c r="V28" s="817"/>
      <c r="W28" s="801"/>
      <c r="X28" s="600" t="s">
        <v>1688</v>
      </c>
      <c r="Y28" s="600"/>
      <c r="Z28" s="3959" t="s">
        <v>1902</v>
      </c>
      <c r="AA28" s="3959"/>
      <c r="AB28" s="3959"/>
      <c r="AC28" s="3959"/>
      <c r="AD28" s="3959"/>
      <c r="AE28" s="818">
        <f>AF26</f>
        <v>0</v>
      </c>
      <c r="AF28" s="3956" t="s">
        <v>1943</v>
      </c>
      <c r="AG28" s="3956"/>
      <c r="AH28" s="3956"/>
      <c r="AI28" s="819">
        <f>AE28</f>
        <v>0</v>
      </c>
      <c r="AJ28" s="820">
        <f>AM46</f>
        <v>0</v>
      </c>
      <c r="AK28" s="821">
        <f>AE28-AM46</f>
        <v>0</v>
      </c>
      <c r="AM28" s="3843" t="s">
        <v>1647</v>
      </c>
      <c r="AN28" s="748"/>
      <c r="AO28" s="748"/>
      <c r="AP28" s="748"/>
      <c r="AQ28" s="748"/>
      <c r="AR28" s="748"/>
      <c r="AS28" s="748"/>
      <c r="AT28" s="748"/>
      <c r="AU28" s="748"/>
      <c r="AV28" s="748"/>
      <c r="AW28" s="695"/>
      <c r="AX28" s="695"/>
      <c r="AY28" s="695"/>
    </row>
    <row r="29" spans="1:54" s="748" customFormat="1" ht="16.5" customHeight="1" x14ac:dyDescent="0.3">
      <c r="A29" s="822"/>
      <c r="B29" s="661"/>
      <c r="C29" s="661"/>
      <c r="D29" s="823"/>
      <c r="E29" s="824"/>
      <c r="F29" s="825"/>
      <c r="G29" s="826" t="s">
        <v>2114</v>
      </c>
      <c r="H29" s="827" t="s">
        <v>1974</v>
      </c>
      <c r="I29" s="828" t="s">
        <v>1977</v>
      </c>
      <c r="J29" s="801"/>
      <c r="K29" s="801"/>
      <c r="L29" s="829"/>
      <c r="M29" s="830"/>
      <c r="N29" s="831"/>
      <c r="O29" s="801"/>
      <c r="P29" s="817"/>
      <c r="Q29" s="832"/>
      <c r="R29" s="801"/>
      <c r="S29" s="801"/>
      <c r="T29" s="801"/>
      <c r="U29" s="801"/>
      <c r="V29" s="801"/>
      <c r="AA29" s="833"/>
      <c r="AB29" s="834"/>
      <c r="AC29" s="835" t="s">
        <v>2000</v>
      </c>
      <c r="AD29" s="836"/>
      <c r="AE29" s="836"/>
      <c r="AL29" s="837"/>
      <c r="AM29" s="838" t="s">
        <v>1987</v>
      </c>
    </row>
    <row r="30" spans="1:54" s="844" customFormat="1" ht="22.5" customHeight="1" x14ac:dyDescent="0.35">
      <c r="A30" s="3978" t="s">
        <v>2074</v>
      </c>
      <c r="B30" s="3978"/>
      <c r="C30" s="3978"/>
      <c r="D30" s="3978"/>
      <c r="E30" s="3979"/>
      <c r="F30" s="826" t="s">
        <v>5</v>
      </c>
      <c r="G30" s="646" t="s">
        <v>2115</v>
      </c>
      <c r="H30" s="839" t="s">
        <v>2118</v>
      </c>
      <c r="I30" s="840" t="s">
        <v>2093</v>
      </c>
      <c r="J30" s="841"/>
      <c r="K30" s="842"/>
      <c r="L30" s="841"/>
      <c r="M30" s="841"/>
      <c r="N30" s="843"/>
      <c r="O30" s="841"/>
      <c r="P30" s="841"/>
      <c r="Q30" s="841"/>
      <c r="S30" s="845" t="s">
        <v>1895</v>
      </c>
      <c r="T30" s="846"/>
      <c r="U30" s="847"/>
      <c r="V30" s="847"/>
      <c r="W30" s="847" t="s">
        <v>2100</v>
      </c>
      <c r="X30" s="847"/>
      <c r="Y30" s="847"/>
      <c r="Z30" s="847"/>
      <c r="AA30" s="847"/>
      <c r="AB30" s="848" t="s">
        <v>1895</v>
      </c>
      <c r="AC30" s="835" t="s">
        <v>2001</v>
      </c>
      <c r="AD30" s="849"/>
      <c r="AF30" s="850"/>
      <c r="AH30" s="3935" t="s">
        <v>1890</v>
      </c>
      <c r="AI30" s="3935"/>
      <c r="AJ30" s="3935"/>
      <c r="AK30" s="3935"/>
      <c r="AL30" s="851"/>
      <c r="AM30" s="3842" t="s">
        <v>169</v>
      </c>
      <c r="AT30" s="852"/>
      <c r="AU30" s="852"/>
      <c r="AV30" s="852"/>
      <c r="AW30" s="852"/>
    </row>
    <row r="31" spans="1:54" s="844" customFormat="1" ht="22.5" customHeight="1" thickBot="1" x14ac:dyDescent="0.35">
      <c r="A31" s="4003" t="s">
        <v>1865</v>
      </c>
      <c r="B31" s="4003"/>
      <c r="C31" s="4003"/>
      <c r="D31" s="4003"/>
      <c r="E31" s="624" t="s">
        <v>2056</v>
      </c>
      <c r="F31" s="828" t="s">
        <v>1973</v>
      </c>
      <c r="G31" s="853"/>
      <c r="H31" s="854" t="s">
        <v>2090</v>
      </c>
      <c r="I31" s="855" t="s">
        <v>2116</v>
      </c>
      <c r="J31" s="841"/>
      <c r="K31" s="841"/>
      <c r="L31" s="842"/>
      <c r="M31" s="841"/>
      <c r="N31" s="841"/>
      <c r="O31" s="843"/>
      <c r="P31" s="841"/>
      <c r="Q31" s="841"/>
      <c r="R31" s="856" t="s">
        <v>1897</v>
      </c>
      <c r="S31" s="857" t="s">
        <v>1891</v>
      </c>
      <c r="U31" s="843"/>
      <c r="V31" s="843"/>
      <c r="W31" s="843"/>
      <c r="X31" s="858" t="s">
        <v>13</v>
      </c>
      <c r="Y31" s="843"/>
      <c r="Z31" s="859" t="s">
        <v>31</v>
      </c>
      <c r="AA31" s="860" t="s">
        <v>13</v>
      </c>
      <c r="AB31" s="859" t="s">
        <v>1896</v>
      </c>
      <c r="AC31" s="844" t="s">
        <v>2007</v>
      </c>
      <c r="AD31" s="861" t="s">
        <v>1772</v>
      </c>
      <c r="AE31" s="862" t="s">
        <v>2015</v>
      </c>
      <c r="AF31" s="863" t="s">
        <v>1901</v>
      </c>
      <c r="AG31" s="864"/>
      <c r="AH31" s="3954" t="s">
        <v>2103</v>
      </c>
      <c r="AI31" s="3954"/>
      <c r="AJ31" s="3954"/>
      <c r="AK31" s="3954"/>
      <c r="AL31" s="864"/>
      <c r="AM31" s="3851" t="s">
        <v>2512</v>
      </c>
      <c r="AU31" s="852"/>
      <c r="AV31" s="852"/>
      <c r="AW31" s="852"/>
      <c r="AX31" s="852"/>
    </row>
    <row r="32" spans="1:54" ht="18" customHeight="1" thickTop="1" thickBot="1" x14ac:dyDescent="0.4">
      <c r="A32" s="3983" t="s">
        <v>1771</v>
      </c>
      <c r="B32" s="3984"/>
      <c r="C32" s="3984"/>
      <c r="D32" s="3985"/>
      <c r="E32" s="636" t="s">
        <v>5</v>
      </c>
      <c r="F32" s="646" t="s">
        <v>1976</v>
      </c>
      <c r="G32" s="865" t="s">
        <v>2095</v>
      </c>
      <c r="H32" s="854" t="s">
        <v>2091</v>
      </c>
      <c r="I32" s="855" t="s">
        <v>2117</v>
      </c>
      <c r="J32" s="3980" t="s">
        <v>2511</v>
      </c>
      <c r="K32" s="3981"/>
      <c r="L32" s="3981"/>
      <c r="M32" s="3981"/>
      <c r="N32" s="3981"/>
      <c r="O32" s="3982"/>
      <c r="P32" s="866"/>
      <c r="Q32" s="866"/>
      <c r="R32" s="867" t="s">
        <v>2059</v>
      </c>
      <c r="S32" s="868" t="s">
        <v>2</v>
      </c>
      <c r="T32" s="869"/>
      <c r="U32" s="870"/>
      <c r="V32" s="3992" t="s">
        <v>2048</v>
      </c>
      <c r="W32" s="3992"/>
      <c r="X32" s="871" t="s">
        <v>2019</v>
      </c>
      <c r="Y32" s="872"/>
      <c r="Z32" s="857" t="s">
        <v>1891</v>
      </c>
      <c r="AA32" s="871" t="s">
        <v>2019</v>
      </c>
      <c r="AB32" s="859" t="s">
        <v>3</v>
      </c>
      <c r="AC32" s="873" t="s">
        <v>3</v>
      </c>
      <c r="AD32" s="2228" t="s">
        <v>250</v>
      </c>
      <c r="AE32" s="2227" t="s">
        <v>294</v>
      </c>
      <c r="AF32" s="655" t="s">
        <v>1899</v>
      </c>
      <c r="AH32" s="874"/>
      <c r="AI32" s="874"/>
      <c r="AJ32" s="874"/>
      <c r="AK32" s="874"/>
      <c r="AM32" s="3852" t="s">
        <v>2513</v>
      </c>
      <c r="AO32" s="748"/>
      <c r="AP32" s="748"/>
      <c r="AQ32" s="748"/>
      <c r="AR32" s="748"/>
      <c r="AS32" s="748"/>
      <c r="AT32" s="748"/>
      <c r="AU32" s="748"/>
      <c r="AV32" s="748"/>
      <c r="AW32" s="748"/>
      <c r="AX32" s="748"/>
    </row>
    <row r="33" spans="1:71" s="665" customFormat="1" ht="21" customHeight="1" thickTop="1" x14ac:dyDescent="0.4">
      <c r="A33" s="875" t="s">
        <v>2144</v>
      </c>
      <c r="B33" s="876" t="s">
        <v>1566</v>
      </c>
      <c r="C33" s="3974" t="s">
        <v>35</v>
      </c>
      <c r="D33" s="3974"/>
      <c r="E33" s="3966" t="s">
        <v>2139</v>
      </c>
      <c r="F33" s="3967"/>
      <c r="G33" s="865" t="s">
        <v>2096</v>
      </c>
      <c r="H33" s="854" t="s">
        <v>2092</v>
      </c>
      <c r="I33" s="877" t="s">
        <v>2094</v>
      </c>
      <c r="J33" s="3986" t="s">
        <v>1773</v>
      </c>
      <c r="K33" s="3987"/>
      <c r="L33" s="3987"/>
      <c r="M33" s="3987"/>
      <c r="N33" s="3987"/>
      <c r="O33" s="3988"/>
      <c r="P33" s="878"/>
      <c r="Q33" s="879"/>
      <c r="R33" s="880" t="s">
        <v>2060</v>
      </c>
      <c r="S33" s="881" t="s">
        <v>1774</v>
      </c>
      <c r="T33" s="603"/>
      <c r="U33" s="882" t="s">
        <v>1780</v>
      </c>
      <c r="V33" s="3998">
        <v>4110</v>
      </c>
      <c r="W33" s="3998"/>
      <c r="X33" s="883">
        <v>4514</v>
      </c>
      <c r="Y33" s="884" t="s">
        <v>251</v>
      </c>
      <c r="Z33" s="885">
        <v>4110</v>
      </c>
      <c r="AA33" s="883">
        <v>4514</v>
      </c>
      <c r="AB33" s="886"/>
      <c r="AC33" s="887" t="s">
        <v>2008</v>
      </c>
      <c r="AD33" s="888" t="s">
        <v>247</v>
      </c>
      <c r="AE33" s="889" t="s">
        <v>13</v>
      </c>
      <c r="AF33" s="890" t="s">
        <v>2109</v>
      </c>
      <c r="AG33" s="891"/>
      <c r="AH33" s="4004" t="s">
        <v>2104</v>
      </c>
      <c r="AI33" s="4005"/>
      <c r="AJ33" s="4005"/>
      <c r="AK33" s="4005"/>
      <c r="AL33" s="4006"/>
      <c r="AM33" s="655" t="s">
        <v>1898</v>
      </c>
      <c r="AN33" s="3990" t="s">
        <v>2102</v>
      </c>
      <c r="AO33" s="3991"/>
      <c r="AP33" s="892"/>
      <c r="AQ33" s="892"/>
      <c r="AR33" s="892"/>
      <c r="AS33" s="892"/>
      <c r="AT33" s="892"/>
      <c r="AU33" s="892"/>
      <c r="AV33" s="892"/>
      <c r="AW33" s="892"/>
      <c r="AX33" s="892"/>
      <c r="AY33" s="667"/>
      <c r="AZ33" s="667"/>
      <c r="BA33" s="667"/>
      <c r="BB33" s="667"/>
      <c r="BC33" s="667"/>
      <c r="BD33" s="667"/>
      <c r="BE33" s="667"/>
      <c r="BF33" s="667"/>
      <c r="BG33" s="667"/>
    </row>
    <row r="34" spans="1:71" ht="19.5" customHeight="1" thickBot="1" x14ac:dyDescent="0.35">
      <c r="A34" s="893" t="s">
        <v>21</v>
      </c>
      <c r="B34" s="894" t="s">
        <v>1775</v>
      </c>
      <c r="C34" s="895" t="s">
        <v>1776</v>
      </c>
      <c r="D34" s="896" t="s">
        <v>1</v>
      </c>
      <c r="E34" s="671" t="s">
        <v>5</v>
      </c>
      <c r="F34" s="897" t="s">
        <v>2147</v>
      </c>
      <c r="G34" s="673" t="s">
        <v>2119</v>
      </c>
      <c r="H34" s="657" t="s">
        <v>2097</v>
      </c>
      <c r="I34" s="658" t="s">
        <v>1741</v>
      </c>
      <c r="J34" s="898" t="s">
        <v>1742</v>
      </c>
      <c r="K34" s="690" t="s">
        <v>2</v>
      </c>
      <c r="L34" s="899" t="s">
        <v>1777</v>
      </c>
      <c r="M34" s="899" t="s">
        <v>1744</v>
      </c>
      <c r="N34" s="900" t="s">
        <v>1745</v>
      </c>
      <c r="O34" s="901" t="s">
        <v>1778</v>
      </c>
      <c r="P34" s="902" t="s">
        <v>1779</v>
      </c>
      <c r="Q34" s="903" t="s">
        <v>1780</v>
      </c>
      <c r="R34" s="904" t="s">
        <v>1888</v>
      </c>
      <c r="S34" s="905" t="s">
        <v>2099</v>
      </c>
      <c r="U34" s="906" t="s">
        <v>1870</v>
      </c>
      <c r="V34" s="907" t="s">
        <v>1871</v>
      </c>
      <c r="W34" s="908" t="s">
        <v>1781</v>
      </c>
      <c r="X34" s="909" t="s">
        <v>2010</v>
      </c>
      <c r="Y34" s="910" t="s">
        <v>1782</v>
      </c>
      <c r="Z34" s="911" t="s">
        <v>2098</v>
      </c>
      <c r="AA34" s="912" t="s">
        <v>2010</v>
      </c>
      <c r="AB34" s="913" t="s">
        <v>1783</v>
      </c>
      <c r="AC34" s="914" t="s">
        <v>2009</v>
      </c>
      <c r="AD34" s="915" t="s">
        <v>262</v>
      </c>
      <c r="AE34" s="915" t="s">
        <v>263</v>
      </c>
      <c r="AF34" s="905" t="s">
        <v>25</v>
      </c>
      <c r="AG34" s="686"/>
      <c r="AH34" s="916" t="s">
        <v>1784</v>
      </c>
      <c r="AI34" s="916" t="s">
        <v>1785</v>
      </c>
      <c r="AJ34" s="916" t="s">
        <v>1756</v>
      </c>
      <c r="AK34" s="916" t="s">
        <v>1757</v>
      </c>
      <c r="AL34" s="917" t="s">
        <v>1740</v>
      </c>
      <c r="AM34" s="890" t="s">
        <v>2108</v>
      </c>
      <c r="AN34" s="3996" t="s">
        <v>2101</v>
      </c>
      <c r="AO34" s="3997"/>
      <c r="AP34" s="833"/>
      <c r="AQ34" s="833"/>
      <c r="AR34" s="600"/>
      <c r="AS34" s="600"/>
      <c r="AT34" s="600"/>
      <c r="AU34" s="804"/>
      <c r="AV34" s="602"/>
      <c r="AW34" s="600"/>
      <c r="AX34" s="748"/>
      <c r="AY34" s="748"/>
      <c r="AZ34" s="748"/>
      <c r="BA34" s="748"/>
      <c r="BB34" s="748"/>
      <c r="BC34" s="748"/>
      <c r="BD34" s="695"/>
      <c r="BE34" s="695"/>
      <c r="BF34" s="695"/>
      <c r="BG34" s="695"/>
      <c r="BH34" s="695"/>
      <c r="BI34" s="695"/>
      <c r="BJ34" s="695"/>
      <c r="BK34" s="695"/>
      <c r="BL34" s="695"/>
      <c r="BM34" s="695"/>
      <c r="BN34" s="695"/>
      <c r="BO34" s="695"/>
      <c r="BP34" s="695"/>
      <c r="BQ34" s="695"/>
      <c r="BR34" s="695"/>
      <c r="BS34" s="695"/>
    </row>
    <row r="35" spans="1:71" ht="14.1" customHeight="1" thickTop="1" thickBot="1" x14ac:dyDescent="0.35">
      <c r="A35" s="918"/>
      <c r="B35" s="919" t="s">
        <v>2149</v>
      </c>
      <c r="C35" s="3539" t="s">
        <v>2428</v>
      </c>
      <c r="D35" s="920">
        <v>0</v>
      </c>
      <c r="E35" s="921">
        <f>IF(F35="","",LEFT(F35,SEARCH("-",F35)-2))*1</f>
        <v>24000</v>
      </c>
      <c r="F35" s="922" t="s">
        <v>1947</v>
      </c>
      <c r="G35" s="923"/>
      <c r="H35" s="2463" t="s">
        <v>2374</v>
      </c>
      <c r="I35" s="924" t="s">
        <v>218</v>
      </c>
      <c r="J35" s="925"/>
      <c r="K35" s="926">
        <v>750</v>
      </c>
      <c r="L35" s="927">
        <v>0</v>
      </c>
      <c r="M35" s="927">
        <v>0</v>
      </c>
      <c r="N35" s="928">
        <v>0</v>
      </c>
      <c r="O35" s="929">
        <v>0</v>
      </c>
      <c r="P35" s="2851">
        <f t="shared" ref="P35:P45" si="7">SUM(K35,-L35,M35,-N35,O35)</f>
        <v>750</v>
      </c>
      <c r="Q35" s="930">
        <v>0</v>
      </c>
      <c r="R35" s="931">
        <v>0</v>
      </c>
      <c r="S35" s="932">
        <f>(IF(R35=0,P35,(P35*Q35*R35)+P35))</f>
        <v>750</v>
      </c>
      <c r="T35" s="933"/>
      <c r="U35" s="930">
        <f t="shared" ref="U35:U45" si="8">(1-R35)</f>
        <v>1</v>
      </c>
      <c r="V35" s="715">
        <f>IF(OR( 'Val-Dép'!G35="cocontractant",    'Val-Dép'!G35="Intracomm.",  'Val-Dép'!I35="note de crédit",  'Val-Dép'!I35="Marchand-amball"),"0",PRODUCT(P35,Q35,U35))</f>
        <v>0</v>
      </c>
      <c r="W35" s="715" t="str">
        <f>IF(( 'Val-Dép'!I35="Marchand-amball"),PRODUCT(P35,Q35,U35),"0")</f>
        <v>0</v>
      </c>
      <c r="X35" s="934" t="str">
        <f>IF(OR('Val-Dép'!I35="note de crédit"), PRODUCT(P35,Q35,U35),"0")</f>
        <v>0</v>
      </c>
      <c r="Y35" s="935">
        <v>0</v>
      </c>
      <c r="Z35" s="936">
        <f t="shared" ref="Z35:Z44" si="9">(V35+W35)</f>
        <v>0</v>
      </c>
      <c r="AA35" s="934" t="str">
        <f t="shared" ref="AA35:AA45" si="10">IF((I35="note de crédit"),(P35*Q35*U35),"0")</f>
        <v>0</v>
      </c>
      <c r="AB35" s="936">
        <f t="shared" ref="AB35:AB45" si="11">IF((I35&lt;&gt;"note de crédit"),SUM(S35,V35,W35,X35),"0")</f>
        <v>750</v>
      </c>
      <c r="AC35" s="937" t="str">
        <f t="shared" ref="AC35:AC44" si="12">IF((I35="note de crédit"),SUM(S35,X35),"0")</f>
        <v>0</v>
      </c>
      <c r="AD35" s="934" t="str">
        <f t="shared" ref="AD35:AD45" si="13">IF((G35="Intracomm."),PRODUCT(P35,Q35,U35),"0")</f>
        <v>0</v>
      </c>
      <c r="AE35" s="934" t="str">
        <f t="shared" ref="AE35:AE45" si="14">IF((G35="cocontractant"), PRODUCT(P35,Q35,U35),"0")</f>
        <v>0</v>
      </c>
      <c r="AF35" s="938">
        <f t="shared" ref="AF35:AF45" si="15">IF(AM35=ROUND(D35,2),AM35,IF(AM35=ROUND(D35+AB35,2),AM35,IF(AM35=ROUND(AB35,2),AM35,IF(AM35="",AM35,"0"))))</f>
        <v>0</v>
      </c>
      <c r="AG35" s="939"/>
      <c r="AH35" s="940" t="str">
        <f>$B$35</f>
        <v>F0001</v>
      </c>
      <c r="AI35" s="941" t="str">
        <f t="shared" ref="AI35:AI45" si="16">C35</f>
        <v>four01</v>
      </c>
      <c r="AJ35" s="942"/>
      <c r="AK35" s="943"/>
      <c r="AL35" s="944" t="str">
        <f>IF(H35="Banque","550",IF(H35="Bq client-1an","400/550",IF(H35="Bq post","560",IF(H35="Bq fournis-1an","440/550",IF(H35="Bq fournis+1an","1750/550",IF(H35="Bq post fournis-1an","440/560",IF(H35="Bq post fournis+1an","1750/560",IF(H35="Caisse fournis-1an","440/570",IF(H35="Caisse fournis+1an","1750/570",IF(H35="**",0))))))))))</f>
        <v>440/550</v>
      </c>
      <c r="AM35" s="945"/>
      <c r="AN35" s="4001" t="str">
        <f>IF(AND(H35&lt;&gt;"**"), "Bq ACTIF", "Compte pas ACTIF")</f>
        <v>Bq ACTIF</v>
      </c>
      <c r="AO35" s="4002"/>
      <c r="AP35" s="748"/>
      <c r="AQ35" s="748"/>
      <c r="AR35" s="748"/>
      <c r="AS35" s="748"/>
      <c r="AT35" s="748"/>
      <c r="AU35" s="748"/>
      <c r="AV35" s="748"/>
      <c r="AW35" s="748"/>
      <c r="AX35" s="748"/>
      <c r="AY35" s="748"/>
      <c r="AZ35" s="748"/>
      <c r="BA35" s="748"/>
      <c r="BB35" s="748"/>
      <c r="BC35" s="748"/>
      <c r="BD35" s="695"/>
      <c r="BE35" s="695"/>
      <c r="BF35" s="695"/>
      <c r="BG35" s="695"/>
      <c r="BH35" s="695"/>
    </row>
    <row r="36" spans="1:71" ht="14.1" customHeight="1" thickTop="1" thickBot="1" x14ac:dyDescent="0.35">
      <c r="A36" s="946"/>
      <c r="B36" s="2852" t="s">
        <v>2149</v>
      </c>
      <c r="C36" s="3538" t="s">
        <v>2429</v>
      </c>
      <c r="D36" s="949">
        <v>0</v>
      </c>
      <c r="E36" s="921">
        <f t="shared" ref="E36:E45" si="17">IF(F36="","",LEFT(F36,SEARCH("-",F36)-2))*1</f>
        <v>36000</v>
      </c>
      <c r="F36" s="922" t="s">
        <v>1952</v>
      </c>
      <c r="G36" s="923" t="s">
        <v>1882</v>
      </c>
      <c r="H36" s="701" t="s">
        <v>2374</v>
      </c>
      <c r="I36" s="924" t="s">
        <v>170</v>
      </c>
      <c r="J36" s="950"/>
      <c r="K36" s="926">
        <v>5000</v>
      </c>
      <c r="L36" s="951">
        <v>0</v>
      </c>
      <c r="M36" s="951">
        <v>0</v>
      </c>
      <c r="N36" s="952">
        <v>0</v>
      </c>
      <c r="O36" s="953">
        <v>0</v>
      </c>
      <c r="P36" s="954">
        <f t="shared" si="7"/>
        <v>5000</v>
      </c>
      <c r="Q36" s="930">
        <v>0</v>
      </c>
      <c r="R36" s="931">
        <v>0</v>
      </c>
      <c r="S36" s="932">
        <f t="shared" ref="S36:S45" si="18">(IF(R36=0,P36,(P36*Q36*R36)+P36))</f>
        <v>5000</v>
      </c>
      <c r="T36" s="933"/>
      <c r="U36" s="930">
        <f t="shared" si="8"/>
        <v>1</v>
      </c>
      <c r="V36" s="715">
        <f>IF(OR( 'Val-Dép'!G36="cocontractant",    'Val-Dép'!G36="Intracomm.",  'Val-Dép'!I36="note de crédit",  'Val-Dép'!I36="Marchand-amball"),"0",PRODUCT(P36,Q36,U36))</f>
        <v>0</v>
      </c>
      <c r="W36" s="715" t="str">
        <f>IF(( 'Val-Dép'!I36="Marchand-amball"),PRODUCT(P36,Q36,U36),"0")</f>
        <v>0</v>
      </c>
      <c r="X36" s="934" t="str">
        <f>IF(OR('Val-Dép'!I36="note de crédit"), PRODUCT(P36,Q36,U36),"0")</f>
        <v>0</v>
      </c>
      <c r="Y36" s="935">
        <v>0</v>
      </c>
      <c r="Z36" s="936">
        <f t="shared" si="9"/>
        <v>0</v>
      </c>
      <c r="AA36" s="934" t="str">
        <f t="shared" si="10"/>
        <v>0</v>
      </c>
      <c r="AB36" s="936">
        <f t="shared" si="11"/>
        <v>5000</v>
      </c>
      <c r="AC36" s="937" t="str">
        <f t="shared" si="12"/>
        <v>0</v>
      </c>
      <c r="AD36" s="934" t="str">
        <f t="shared" si="13"/>
        <v>0</v>
      </c>
      <c r="AE36" s="934" t="str">
        <f t="shared" si="14"/>
        <v>0</v>
      </c>
      <c r="AF36" s="938">
        <f t="shared" si="15"/>
        <v>0</v>
      </c>
      <c r="AG36" s="939"/>
      <c r="AH36" s="955" t="str">
        <f>$B$36</f>
        <v>F0001</v>
      </c>
      <c r="AI36" s="941" t="str">
        <f t="shared" si="16"/>
        <v>four02</v>
      </c>
      <c r="AJ36" s="942"/>
      <c r="AK36" s="943"/>
      <c r="AL36" s="944" t="str">
        <f t="shared" ref="AL36:AL45" si="19">IF(H36="banque","550",IF(H36="Bq post","560",IF(H36="Bq fournis-1an","440/550",IF(H36="Bq fournis+1an","1750/550",IF(H36="Bq post fournis-1an","440/560",IF(H36="Bq post fournis+1an","1750/560",IF(H36="Caisse fournis-1an","440/570",IF(H36="Caisse fournis+1an","1750/570",IF(H36="**",0)))))))))</f>
        <v>440/550</v>
      </c>
      <c r="AM36" s="945"/>
      <c r="AN36" s="4001" t="str">
        <f t="shared" ref="AN36:AN45" si="20">IF(AND(H38&lt;&gt;"**"), "Bq ACTIF", "Compte pas ACTIF")</f>
        <v>Compte pas ACTIF</v>
      </c>
      <c r="AO36" s="4002"/>
      <c r="AP36" s="748"/>
      <c r="AQ36" s="748"/>
      <c r="AR36" s="748"/>
      <c r="AS36" s="748"/>
      <c r="AT36" s="748"/>
      <c r="AU36" s="748"/>
      <c r="AV36" s="748"/>
      <c r="AW36" s="748"/>
      <c r="AX36" s="748"/>
      <c r="AY36" s="748"/>
      <c r="AZ36" s="748"/>
      <c r="BA36" s="748"/>
      <c r="BB36" s="748"/>
      <c r="BC36" s="748"/>
      <c r="BD36" s="695"/>
      <c r="BE36" s="695"/>
      <c r="BF36" s="695"/>
      <c r="BG36" s="695"/>
      <c r="BH36" s="695"/>
    </row>
    <row r="37" spans="1:71" s="695" customFormat="1" ht="14.1" customHeight="1" thickTop="1" thickBot="1" x14ac:dyDescent="0.35">
      <c r="A37" s="956"/>
      <c r="B37" s="947" t="s">
        <v>2150</v>
      </c>
      <c r="C37" s="3540" t="s">
        <v>2430</v>
      </c>
      <c r="D37" s="949">
        <v>0</v>
      </c>
      <c r="E37" s="921">
        <f t="shared" si="17"/>
        <v>24000</v>
      </c>
      <c r="F37" s="922" t="s">
        <v>1947</v>
      </c>
      <c r="G37" s="923" t="s">
        <v>1882</v>
      </c>
      <c r="H37" s="701" t="s">
        <v>1882</v>
      </c>
      <c r="I37" s="924"/>
      <c r="J37" s="950"/>
      <c r="K37" s="3611"/>
      <c r="L37" s="951"/>
      <c r="M37" s="951"/>
      <c r="N37" s="958"/>
      <c r="O37" s="953"/>
      <c r="P37" s="954">
        <f t="shared" si="7"/>
        <v>0</v>
      </c>
      <c r="Q37" s="930">
        <v>0</v>
      </c>
      <c r="R37" s="931">
        <v>0</v>
      </c>
      <c r="S37" s="932">
        <f t="shared" si="18"/>
        <v>0</v>
      </c>
      <c r="T37" s="933"/>
      <c r="U37" s="930">
        <f t="shared" si="8"/>
        <v>1</v>
      </c>
      <c r="V37" s="715">
        <f>IF(OR( 'Val-Dép'!G37="cocontractant",    'Val-Dép'!G37="Intracomm.",  'Val-Dép'!I37="note de crédit",  'Val-Dép'!I37="Marchand-amball"),"0",PRODUCT(P37,Q37,U37))</f>
        <v>0</v>
      </c>
      <c r="W37" s="715" t="str">
        <f>IF(( 'Val-Dép'!I37="Marchand-amball"),PRODUCT(P37,Q37,U37),"0")</f>
        <v>0</v>
      </c>
      <c r="X37" s="934" t="str">
        <f>IF(OR('Val-Dép'!I37="note de crédit"), PRODUCT(P37,Q37,U37),"0")</f>
        <v>0</v>
      </c>
      <c r="Y37" s="935">
        <v>0</v>
      </c>
      <c r="Z37" s="936">
        <f t="shared" si="9"/>
        <v>0</v>
      </c>
      <c r="AA37" s="934" t="str">
        <f t="shared" si="10"/>
        <v>0</v>
      </c>
      <c r="AB37" s="936">
        <f t="shared" si="11"/>
        <v>0</v>
      </c>
      <c r="AC37" s="937" t="str">
        <f t="shared" si="12"/>
        <v>0</v>
      </c>
      <c r="AD37" s="934" t="str">
        <f t="shared" si="13"/>
        <v>0</v>
      </c>
      <c r="AE37" s="934" t="str">
        <f t="shared" si="14"/>
        <v>0</v>
      </c>
      <c r="AF37" s="938">
        <f t="shared" si="15"/>
        <v>0</v>
      </c>
      <c r="AG37" s="939"/>
      <c r="AH37" s="940" t="str">
        <f>$B$37</f>
        <v>F0003</v>
      </c>
      <c r="AI37" s="941" t="str">
        <f t="shared" si="16"/>
        <v>four03</v>
      </c>
      <c r="AJ37" s="942"/>
      <c r="AK37" s="943"/>
      <c r="AL37" s="944">
        <f t="shared" si="19"/>
        <v>0</v>
      </c>
      <c r="AM37" s="945"/>
      <c r="AN37" s="4001" t="str">
        <f t="shared" si="20"/>
        <v>Compte pas ACTIF</v>
      </c>
      <c r="AO37" s="4002"/>
      <c r="AP37" s="959"/>
      <c r="AQ37" s="748"/>
      <c r="AR37" s="748"/>
      <c r="AS37" s="748"/>
      <c r="AT37" s="748"/>
      <c r="AU37" s="748"/>
      <c r="AV37" s="748"/>
      <c r="AW37" s="748"/>
      <c r="AX37" s="748"/>
      <c r="AY37" s="748"/>
      <c r="AZ37" s="748"/>
      <c r="BA37" s="748"/>
      <c r="BB37" s="748"/>
      <c r="BC37" s="748"/>
    </row>
    <row r="38" spans="1:71" ht="14.1" customHeight="1" thickTop="1" thickBot="1" x14ac:dyDescent="0.35">
      <c r="A38" s="956"/>
      <c r="B38" s="947" t="s">
        <v>2151</v>
      </c>
      <c r="C38" s="957"/>
      <c r="D38" s="949"/>
      <c r="E38" s="921">
        <f t="shared" si="17"/>
        <v>24000</v>
      </c>
      <c r="F38" s="922" t="s">
        <v>1947</v>
      </c>
      <c r="G38" s="923" t="s">
        <v>1882</v>
      </c>
      <c r="H38" s="701" t="s">
        <v>1882</v>
      </c>
      <c r="I38" s="924"/>
      <c r="J38" s="950"/>
      <c r="K38" s="926"/>
      <c r="L38" s="951"/>
      <c r="M38" s="951"/>
      <c r="N38" s="958"/>
      <c r="O38" s="953"/>
      <c r="P38" s="954">
        <f t="shared" si="7"/>
        <v>0</v>
      </c>
      <c r="Q38" s="930">
        <v>0</v>
      </c>
      <c r="R38" s="931">
        <v>0</v>
      </c>
      <c r="S38" s="932">
        <f t="shared" si="18"/>
        <v>0</v>
      </c>
      <c r="T38" s="933"/>
      <c r="U38" s="930">
        <f t="shared" si="8"/>
        <v>1</v>
      </c>
      <c r="V38" s="715">
        <f>IF(OR( 'Val-Dép'!G38="cocontractant",    'Val-Dép'!G38="Intracomm.",  'Val-Dép'!I38="note de crédit",  'Val-Dép'!I38="Marchand-amball"),"0",PRODUCT(P38,Q38,U38))</f>
        <v>0</v>
      </c>
      <c r="W38" s="715" t="str">
        <f>IF(( 'Val-Dép'!I38="Marchand-amball"),PRODUCT(P38,Q38,U38),"0")</f>
        <v>0</v>
      </c>
      <c r="X38" s="934" t="str">
        <f>IF(OR('Val-Dép'!I38="note de crédit"), PRODUCT(P38,Q38,U38),"0")</f>
        <v>0</v>
      </c>
      <c r="Y38" s="935">
        <v>0</v>
      </c>
      <c r="Z38" s="936">
        <f t="shared" si="9"/>
        <v>0</v>
      </c>
      <c r="AA38" s="934" t="str">
        <f t="shared" si="10"/>
        <v>0</v>
      </c>
      <c r="AB38" s="936">
        <f t="shared" si="11"/>
        <v>0</v>
      </c>
      <c r="AC38" s="937" t="str">
        <f t="shared" si="12"/>
        <v>0</v>
      </c>
      <c r="AD38" s="934" t="str">
        <f t="shared" si="13"/>
        <v>0</v>
      </c>
      <c r="AE38" s="934" t="str">
        <f t="shared" si="14"/>
        <v>0</v>
      </c>
      <c r="AF38" s="938">
        <f t="shared" si="15"/>
        <v>0</v>
      </c>
      <c r="AG38" s="939"/>
      <c r="AH38" s="940" t="str">
        <f>$B$38</f>
        <v>F0004</v>
      </c>
      <c r="AI38" s="941">
        <f t="shared" si="16"/>
        <v>0</v>
      </c>
      <c r="AJ38" s="942"/>
      <c r="AK38" s="943"/>
      <c r="AL38" s="944">
        <f t="shared" si="19"/>
        <v>0</v>
      </c>
      <c r="AM38" s="945"/>
      <c r="AN38" s="4001" t="str">
        <f t="shared" si="20"/>
        <v>Compte pas ACTIF</v>
      </c>
      <c r="AO38" s="4002"/>
      <c r="AP38" s="748"/>
      <c r="AQ38" s="748"/>
      <c r="AR38" s="748"/>
      <c r="AS38" s="748"/>
      <c r="AT38" s="748"/>
      <c r="AU38" s="748"/>
      <c r="AV38" s="748"/>
      <c r="AW38" s="748"/>
      <c r="AX38" s="748"/>
      <c r="AY38" s="748"/>
      <c r="AZ38" s="748"/>
      <c r="BA38" s="748"/>
      <c r="BB38" s="748"/>
      <c r="BC38" s="748"/>
      <c r="BD38" s="695"/>
      <c r="BE38" s="695"/>
      <c r="BF38" s="695"/>
      <c r="BG38" s="695"/>
      <c r="BH38" s="695"/>
    </row>
    <row r="39" spans="1:71" s="695" customFormat="1" ht="13.5" customHeight="1" thickTop="1" thickBot="1" x14ac:dyDescent="0.35">
      <c r="A39" s="956"/>
      <c r="B39" s="947"/>
      <c r="C39" s="948"/>
      <c r="D39" s="949"/>
      <c r="E39" s="921">
        <f t="shared" si="17"/>
        <v>17001</v>
      </c>
      <c r="F39" s="922" t="s">
        <v>2124</v>
      </c>
      <c r="G39" s="923" t="s">
        <v>1882</v>
      </c>
      <c r="H39" s="701" t="s">
        <v>1882</v>
      </c>
      <c r="I39" s="924"/>
      <c r="J39" s="950"/>
      <c r="K39" s="926"/>
      <c r="L39" s="951"/>
      <c r="M39" s="951"/>
      <c r="N39" s="958"/>
      <c r="O39" s="953"/>
      <c r="P39" s="954">
        <f t="shared" si="7"/>
        <v>0</v>
      </c>
      <c r="Q39" s="930">
        <v>0</v>
      </c>
      <c r="R39" s="931">
        <v>0</v>
      </c>
      <c r="S39" s="932">
        <f t="shared" si="18"/>
        <v>0</v>
      </c>
      <c r="T39" s="933"/>
      <c r="U39" s="930">
        <f t="shared" si="8"/>
        <v>1</v>
      </c>
      <c r="V39" s="715">
        <f>IF(OR( 'Val-Dép'!G39="cocontractant",    'Val-Dép'!G39="Intracomm.",  'Val-Dép'!I39="note de crédit",  'Val-Dép'!I39="Marchand-amball"),"0",PRODUCT(P39,Q39,U39))</f>
        <v>0</v>
      </c>
      <c r="W39" s="715" t="str">
        <f>IF(( 'Val-Dép'!I39="Marchand-amball"),PRODUCT(P39,Q39,U39),"0")</f>
        <v>0</v>
      </c>
      <c r="X39" s="934" t="str">
        <f>IF(OR('Val-Dép'!I39="note de crédit"), PRODUCT(P39,Q39,U39),"0")</f>
        <v>0</v>
      </c>
      <c r="Y39" s="935">
        <v>0</v>
      </c>
      <c r="Z39" s="936">
        <f t="shared" si="9"/>
        <v>0</v>
      </c>
      <c r="AA39" s="934" t="str">
        <f t="shared" si="10"/>
        <v>0</v>
      </c>
      <c r="AB39" s="936">
        <f t="shared" si="11"/>
        <v>0</v>
      </c>
      <c r="AC39" s="937" t="str">
        <f t="shared" si="12"/>
        <v>0</v>
      </c>
      <c r="AD39" s="934" t="str">
        <f t="shared" si="13"/>
        <v>0</v>
      </c>
      <c r="AE39" s="934" t="str">
        <f t="shared" si="14"/>
        <v>0</v>
      </c>
      <c r="AF39" s="938">
        <f t="shared" si="15"/>
        <v>0</v>
      </c>
      <c r="AG39" s="939"/>
      <c r="AH39" s="955">
        <f>$B$39</f>
        <v>0</v>
      </c>
      <c r="AI39" s="941">
        <f t="shared" si="16"/>
        <v>0</v>
      </c>
      <c r="AJ39" s="942"/>
      <c r="AK39" s="943"/>
      <c r="AL39" s="944">
        <f t="shared" si="19"/>
        <v>0</v>
      </c>
      <c r="AM39" s="945"/>
      <c r="AN39" s="4001" t="str">
        <f t="shared" si="20"/>
        <v>Compte pas ACTIF</v>
      </c>
      <c r="AO39" s="4002"/>
      <c r="AP39" s="748"/>
      <c r="AQ39" s="748"/>
      <c r="AR39" s="748"/>
      <c r="AS39" s="748"/>
      <c r="AT39" s="748"/>
      <c r="AU39" s="748"/>
      <c r="AV39" s="748"/>
      <c r="AW39" s="748"/>
      <c r="AX39" s="748"/>
      <c r="AY39" s="748"/>
      <c r="AZ39" s="748"/>
      <c r="BA39" s="748"/>
      <c r="BB39" s="748"/>
      <c r="BC39" s="748"/>
    </row>
    <row r="40" spans="1:71" ht="13.5" customHeight="1" thickTop="1" thickBot="1" x14ac:dyDescent="0.35">
      <c r="A40" s="946"/>
      <c r="B40" s="947"/>
      <c r="C40" s="948"/>
      <c r="D40" s="949"/>
      <c r="E40" s="921">
        <f t="shared" si="17"/>
        <v>17002</v>
      </c>
      <c r="F40" s="922" t="s">
        <v>2125</v>
      </c>
      <c r="G40" s="923" t="s">
        <v>1882</v>
      </c>
      <c r="H40" s="701" t="s">
        <v>1882</v>
      </c>
      <c r="I40" s="924"/>
      <c r="J40" s="950"/>
      <c r="K40" s="926"/>
      <c r="L40" s="951"/>
      <c r="M40" s="960"/>
      <c r="N40" s="952"/>
      <c r="O40" s="953"/>
      <c r="P40" s="954">
        <f t="shared" si="7"/>
        <v>0</v>
      </c>
      <c r="Q40" s="930">
        <v>0</v>
      </c>
      <c r="R40" s="931">
        <v>0</v>
      </c>
      <c r="S40" s="932">
        <f t="shared" si="18"/>
        <v>0</v>
      </c>
      <c r="T40" s="933"/>
      <c r="U40" s="930">
        <f t="shared" si="8"/>
        <v>1</v>
      </c>
      <c r="V40" s="715">
        <f>IF(OR( 'Val-Dép'!G40="cocontractant",    'Val-Dép'!G40="Intracomm.",  'Val-Dép'!I40="note de crédit",  'Val-Dép'!I40="Marchand-amball"),"0",PRODUCT(P40,Q40,U40))</f>
        <v>0</v>
      </c>
      <c r="W40" s="715" t="str">
        <f>IF(( 'Val-Dép'!I40="Marchand-amball"),PRODUCT(P40,Q40,U40),"0")</f>
        <v>0</v>
      </c>
      <c r="X40" s="934" t="str">
        <f>IF(OR('Val-Dép'!I40="note de crédit"), PRODUCT(P40,Q40,U40),"0")</f>
        <v>0</v>
      </c>
      <c r="Y40" s="935">
        <v>0</v>
      </c>
      <c r="Z40" s="936">
        <f>(V40+W40)</f>
        <v>0</v>
      </c>
      <c r="AA40" s="934" t="str">
        <f t="shared" si="10"/>
        <v>0</v>
      </c>
      <c r="AB40" s="936">
        <f t="shared" si="11"/>
        <v>0</v>
      </c>
      <c r="AC40" s="937" t="str">
        <f t="shared" si="12"/>
        <v>0</v>
      </c>
      <c r="AD40" s="934" t="str">
        <f t="shared" si="13"/>
        <v>0</v>
      </c>
      <c r="AE40" s="934" t="str">
        <f t="shared" si="14"/>
        <v>0</v>
      </c>
      <c r="AF40" s="938">
        <f t="shared" si="15"/>
        <v>0</v>
      </c>
      <c r="AG40" s="939"/>
      <c r="AH40" s="955">
        <f>$B$40</f>
        <v>0</v>
      </c>
      <c r="AI40" s="941">
        <f t="shared" si="16"/>
        <v>0</v>
      </c>
      <c r="AJ40" s="942"/>
      <c r="AK40" s="943"/>
      <c r="AL40" s="944">
        <f t="shared" si="19"/>
        <v>0</v>
      </c>
      <c r="AM40" s="945"/>
      <c r="AN40" s="4001" t="str">
        <f t="shared" si="20"/>
        <v>Compte pas ACTIF</v>
      </c>
      <c r="AO40" s="4002"/>
      <c r="AP40" s="748"/>
      <c r="AQ40" s="748"/>
      <c r="AR40" s="748"/>
      <c r="AS40" s="748"/>
      <c r="AT40" s="748"/>
      <c r="AU40" s="748"/>
      <c r="AV40" s="748"/>
      <c r="AW40" s="748"/>
      <c r="AX40" s="748"/>
      <c r="AY40" s="748"/>
      <c r="AZ40" s="748"/>
      <c r="BA40" s="748"/>
      <c r="BB40" s="748"/>
      <c r="BC40" s="748"/>
      <c r="BD40" s="695"/>
      <c r="BE40" s="695"/>
      <c r="BF40" s="695"/>
      <c r="BG40" s="695"/>
      <c r="BH40" s="695"/>
    </row>
    <row r="41" spans="1:71" s="748" customFormat="1" ht="14.1" customHeight="1" thickTop="1" thickBot="1" x14ac:dyDescent="0.35">
      <c r="A41" s="956"/>
      <c r="B41" s="947"/>
      <c r="C41" s="961"/>
      <c r="D41" s="949"/>
      <c r="E41" s="921">
        <f t="shared" si="17"/>
        <v>17003</v>
      </c>
      <c r="F41" s="922" t="s">
        <v>2126</v>
      </c>
      <c r="G41" s="923" t="s">
        <v>1882</v>
      </c>
      <c r="H41" s="701" t="s">
        <v>1882</v>
      </c>
      <c r="I41" s="924"/>
      <c r="J41" s="950"/>
      <c r="K41" s="926"/>
      <c r="L41" s="951"/>
      <c r="M41" s="951"/>
      <c r="N41" s="958"/>
      <c r="O41" s="953"/>
      <c r="P41" s="954">
        <f t="shared" si="7"/>
        <v>0</v>
      </c>
      <c r="Q41" s="930">
        <v>0</v>
      </c>
      <c r="R41" s="931">
        <v>0</v>
      </c>
      <c r="S41" s="932">
        <f t="shared" si="18"/>
        <v>0</v>
      </c>
      <c r="T41" s="933"/>
      <c r="U41" s="930">
        <f t="shared" si="8"/>
        <v>1</v>
      </c>
      <c r="V41" s="715">
        <f>IF(OR( 'Val-Dép'!G41="cocontractant",    'Val-Dép'!G41="Intracomm.",  'Val-Dép'!I41="note de crédit",  'Val-Dép'!I41="Marchand-amball"),"0",PRODUCT(P41,Q41,U41))</f>
        <v>0</v>
      </c>
      <c r="W41" s="715" t="str">
        <f>IF(( 'Val-Dép'!I41="Marchand-amball"),PRODUCT(P41,Q41,U41),"0")</f>
        <v>0</v>
      </c>
      <c r="X41" s="934" t="str">
        <f>IF(OR('Val-Dép'!I41="note de crédit"), PRODUCT(P41,Q41,U41),"0")</f>
        <v>0</v>
      </c>
      <c r="Y41" s="935">
        <v>0</v>
      </c>
      <c r="Z41" s="936">
        <f t="shared" si="9"/>
        <v>0</v>
      </c>
      <c r="AA41" s="934" t="str">
        <f t="shared" si="10"/>
        <v>0</v>
      </c>
      <c r="AB41" s="936">
        <f t="shared" si="11"/>
        <v>0</v>
      </c>
      <c r="AC41" s="937" t="str">
        <f t="shared" si="12"/>
        <v>0</v>
      </c>
      <c r="AD41" s="934" t="str">
        <f t="shared" si="13"/>
        <v>0</v>
      </c>
      <c r="AE41" s="934" t="str">
        <f t="shared" si="14"/>
        <v>0</v>
      </c>
      <c r="AF41" s="938">
        <f t="shared" si="15"/>
        <v>0</v>
      </c>
      <c r="AG41" s="939"/>
      <c r="AH41" s="940">
        <f>$B$41</f>
        <v>0</v>
      </c>
      <c r="AI41" s="941">
        <f t="shared" si="16"/>
        <v>0</v>
      </c>
      <c r="AJ41" s="942"/>
      <c r="AK41" s="943"/>
      <c r="AL41" s="944">
        <f t="shared" si="19"/>
        <v>0</v>
      </c>
      <c r="AM41" s="945"/>
      <c r="AN41" s="4001" t="str">
        <f t="shared" si="20"/>
        <v>Compte pas ACTIF</v>
      </c>
      <c r="AO41" s="4002"/>
    </row>
    <row r="42" spans="1:71" s="748" customFormat="1" ht="14.1" customHeight="1" thickTop="1" thickBot="1" x14ac:dyDescent="0.35">
      <c r="A42" s="962"/>
      <c r="B42" s="947"/>
      <c r="C42" s="961"/>
      <c r="D42" s="949"/>
      <c r="E42" s="921">
        <f t="shared" si="17"/>
        <v>17004</v>
      </c>
      <c r="F42" s="922" t="s">
        <v>2127</v>
      </c>
      <c r="G42" s="923" t="s">
        <v>1882</v>
      </c>
      <c r="H42" s="701" t="s">
        <v>1882</v>
      </c>
      <c r="I42" s="924"/>
      <c r="J42" s="950"/>
      <c r="K42" s="926"/>
      <c r="L42" s="951"/>
      <c r="M42" s="951"/>
      <c r="N42" s="958"/>
      <c r="O42" s="953"/>
      <c r="P42" s="954">
        <f t="shared" si="7"/>
        <v>0</v>
      </c>
      <c r="Q42" s="930">
        <v>0</v>
      </c>
      <c r="R42" s="931">
        <v>0</v>
      </c>
      <c r="S42" s="932">
        <f t="shared" si="18"/>
        <v>0</v>
      </c>
      <c r="T42" s="933"/>
      <c r="U42" s="930">
        <f t="shared" si="8"/>
        <v>1</v>
      </c>
      <c r="V42" s="715">
        <f>IF(OR( 'Val-Dép'!G42="cocontractant",    'Val-Dép'!G42="Intracomm.",  'Val-Dép'!I42="note de crédit",  'Val-Dép'!I42="Marchand-amball"),"0",PRODUCT(P42,Q42,U42))</f>
        <v>0</v>
      </c>
      <c r="W42" s="715" t="str">
        <f>IF(( 'Val-Dép'!I42="Marchand-amball"),PRODUCT(P42,Q42,U42),"0")</f>
        <v>0</v>
      </c>
      <c r="X42" s="934" t="str">
        <f>IF(OR('Val-Dép'!I42="note de crédit"), PRODUCT(P42,Q42,U42),"0")</f>
        <v>0</v>
      </c>
      <c r="Y42" s="935">
        <v>0</v>
      </c>
      <c r="Z42" s="936">
        <f t="shared" si="9"/>
        <v>0</v>
      </c>
      <c r="AA42" s="934" t="str">
        <f t="shared" si="10"/>
        <v>0</v>
      </c>
      <c r="AB42" s="936">
        <f t="shared" si="11"/>
        <v>0</v>
      </c>
      <c r="AC42" s="937" t="str">
        <f t="shared" si="12"/>
        <v>0</v>
      </c>
      <c r="AD42" s="934" t="str">
        <f t="shared" si="13"/>
        <v>0</v>
      </c>
      <c r="AE42" s="934" t="str">
        <f t="shared" si="14"/>
        <v>0</v>
      </c>
      <c r="AF42" s="938">
        <f t="shared" si="15"/>
        <v>0</v>
      </c>
      <c r="AG42" s="939"/>
      <c r="AH42" s="940">
        <f>$B$42</f>
        <v>0</v>
      </c>
      <c r="AI42" s="941">
        <f t="shared" si="16"/>
        <v>0</v>
      </c>
      <c r="AJ42" s="942"/>
      <c r="AK42" s="943"/>
      <c r="AL42" s="944">
        <f t="shared" si="19"/>
        <v>0</v>
      </c>
      <c r="AM42" s="945"/>
      <c r="AN42" s="4001" t="str">
        <f t="shared" si="20"/>
        <v>Compte pas ACTIF</v>
      </c>
      <c r="AO42" s="4002"/>
    </row>
    <row r="43" spans="1:71" ht="14.1" customHeight="1" thickTop="1" thickBot="1" x14ac:dyDescent="0.35">
      <c r="A43" s="963"/>
      <c r="B43" s="947"/>
      <c r="C43" s="961"/>
      <c r="D43" s="949"/>
      <c r="E43" s="921">
        <f t="shared" si="17"/>
        <v>17005</v>
      </c>
      <c r="F43" s="922" t="s">
        <v>2128</v>
      </c>
      <c r="G43" s="923" t="s">
        <v>1882</v>
      </c>
      <c r="H43" s="701" t="s">
        <v>1882</v>
      </c>
      <c r="I43" s="924"/>
      <c r="J43" s="964"/>
      <c r="K43" s="926"/>
      <c r="L43" s="965"/>
      <c r="M43" s="965"/>
      <c r="N43" s="966"/>
      <c r="O43" s="967"/>
      <c r="P43" s="954">
        <f t="shared" si="7"/>
        <v>0</v>
      </c>
      <c r="Q43" s="930">
        <v>0</v>
      </c>
      <c r="R43" s="931">
        <v>0</v>
      </c>
      <c r="S43" s="932">
        <f t="shared" si="18"/>
        <v>0</v>
      </c>
      <c r="T43" s="933"/>
      <c r="U43" s="930">
        <f t="shared" si="8"/>
        <v>1</v>
      </c>
      <c r="V43" s="715">
        <f>IF(OR( 'Val-Dép'!G43="cocontractant",    'Val-Dép'!G43="Intracomm.",  'Val-Dép'!I43="note de crédit",  'Val-Dép'!I43="Marchand-amball"),"0",PRODUCT(P43,Q43,U43))</f>
        <v>0</v>
      </c>
      <c r="W43" s="715" t="str">
        <f>IF(( 'Val-Dép'!I43="Marchand-amball"),PRODUCT(P43,Q43,U43),"0")</f>
        <v>0</v>
      </c>
      <c r="X43" s="934" t="str">
        <f>IF(OR('Val-Dép'!I43="note de crédit"), PRODUCT(P43,Q43,U43),"0")</f>
        <v>0</v>
      </c>
      <c r="Y43" s="935">
        <v>0</v>
      </c>
      <c r="Z43" s="936">
        <f t="shared" si="9"/>
        <v>0</v>
      </c>
      <c r="AA43" s="934" t="str">
        <f t="shared" si="10"/>
        <v>0</v>
      </c>
      <c r="AB43" s="936">
        <f t="shared" si="11"/>
        <v>0</v>
      </c>
      <c r="AC43" s="937" t="str">
        <f t="shared" si="12"/>
        <v>0</v>
      </c>
      <c r="AD43" s="934" t="str">
        <f t="shared" si="13"/>
        <v>0</v>
      </c>
      <c r="AE43" s="934" t="str">
        <f t="shared" si="14"/>
        <v>0</v>
      </c>
      <c r="AF43" s="938">
        <f t="shared" si="15"/>
        <v>0</v>
      </c>
      <c r="AG43" s="939"/>
      <c r="AH43" s="940">
        <f>$B$43</f>
        <v>0</v>
      </c>
      <c r="AI43" s="941">
        <f t="shared" si="16"/>
        <v>0</v>
      </c>
      <c r="AJ43" s="942"/>
      <c r="AK43" s="943"/>
      <c r="AL43" s="944">
        <f t="shared" si="19"/>
        <v>0</v>
      </c>
      <c r="AM43" s="945"/>
      <c r="AN43" s="4001" t="str">
        <f t="shared" si="20"/>
        <v>Compte pas ACTIF</v>
      </c>
      <c r="AO43" s="4002"/>
      <c r="AP43" s="748"/>
      <c r="AQ43" s="748"/>
      <c r="AR43" s="748"/>
      <c r="AS43" s="748"/>
      <c r="AT43" s="748"/>
      <c r="AU43" s="748"/>
      <c r="AV43" s="748"/>
      <c r="AW43" s="748"/>
      <c r="AX43" s="748"/>
      <c r="AY43" s="748"/>
      <c r="AZ43" s="748"/>
      <c r="BA43" s="748"/>
      <c r="BB43" s="748"/>
      <c r="BC43" s="748"/>
      <c r="BD43" s="695"/>
      <c r="BE43" s="695"/>
      <c r="BF43" s="695"/>
      <c r="BG43" s="695"/>
      <c r="BH43" s="695"/>
    </row>
    <row r="44" spans="1:71" ht="14.1" customHeight="1" thickTop="1" thickBot="1" x14ac:dyDescent="0.35">
      <c r="A44" s="968"/>
      <c r="B44" s="947"/>
      <c r="C44" s="961"/>
      <c r="D44" s="949"/>
      <c r="E44" s="921">
        <f t="shared" si="17"/>
        <v>17006</v>
      </c>
      <c r="F44" s="922" t="s">
        <v>2129</v>
      </c>
      <c r="G44" s="923" t="s">
        <v>1882</v>
      </c>
      <c r="H44" s="701" t="s">
        <v>1882</v>
      </c>
      <c r="I44" s="924"/>
      <c r="J44" s="969"/>
      <c r="K44" s="926"/>
      <c r="L44" s="960"/>
      <c r="M44" s="960"/>
      <c r="N44" s="970"/>
      <c r="O44" s="971"/>
      <c r="P44" s="954">
        <f t="shared" si="7"/>
        <v>0</v>
      </c>
      <c r="Q44" s="930">
        <v>0</v>
      </c>
      <c r="R44" s="931">
        <v>0</v>
      </c>
      <c r="S44" s="932">
        <f t="shared" si="18"/>
        <v>0</v>
      </c>
      <c r="T44" s="933"/>
      <c r="U44" s="930">
        <f t="shared" si="8"/>
        <v>1</v>
      </c>
      <c r="V44" s="715">
        <f>IF(OR( 'Val-Dép'!G44="cocontractant",    'Val-Dép'!G44="Intracomm.",  'Val-Dép'!I44="note de crédit",  'Val-Dép'!I44="Marchand-amball"),"0",PRODUCT(P44,Q44,U44))</f>
        <v>0</v>
      </c>
      <c r="W44" s="715" t="str">
        <f>IF(( 'Val-Dép'!I44="Marchand-amball"),PRODUCT(P44,Q44,U44),"0")</f>
        <v>0</v>
      </c>
      <c r="X44" s="934" t="str">
        <f>IF(OR('Val-Dép'!I44="note de crédit"), PRODUCT(P44,Q44,U44),"0")</f>
        <v>0</v>
      </c>
      <c r="Y44" s="935">
        <v>0</v>
      </c>
      <c r="Z44" s="936">
        <f t="shared" si="9"/>
        <v>0</v>
      </c>
      <c r="AA44" s="934" t="str">
        <f t="shared" si="10"/>
        <v>0</v>
      </c>
      <c r="AB44" s="936">
        <f t="shared" si="11"/>
        <v>0</v>
      </c>
      <c r="AC44" s="972" t="str">
        <f t="shared" si="12"/>
        <v>0</v>
      </c>
      <c r="AD44" s="934" t="str">
        <f t="shared" si="13"/>
        <v>0</v>
      </c>
      <c r="AE44" s="934" t="str">
        <f t="shared" si="14"/>
        <v>0</v>
      </c>
      <c r="AF44" s="938">
        <f t="shared" si="15"/>
        <v>0</v>
      </c>
      <c r="AG44" s="973"/>
      <c r="AH44" s="940">
        <f>$B$44</f>
        <v>0</v>
      </c>
      <c r="AI44" s="941">
        <f t="shared" si="16"/>
        <v>0</v>
      </c>
      <c r="AJ44" s="974"/>
      <c r="AK44" s="943"/>
      <c r="AL44" s="944">
        <f t="shared" si="19"/>
        <v>0</v>
      </c>
      <c r="AM44" s="945"/>
      <c r="AN44" s="4001" t="str">
        <f t="shared" si="20"/>
        <v>Compte pas ACTIF</v>
      </c>
      <c r="AO44" s="4002"/>
      <c r="AP44" s="748"/>
      <c r="AQ44" s="748"/>
      <c r="AR44" s="748"/>
      <c r="AS44" s="748"/>
      <c r="AT44" s="748"/>
      <c r="AU44" s="748"/>
      <c r="AV44" s="748"/>
      <c r="AW44" s="748"/>
      <c r="AX44" s="748"/>
      <c r="AY44" s="748"/>
      <c r="AZ44" s="748"/>
      <c r="BA44" s="748"/>
      <c r="BB44" s="748"/>
      <c r="BC44" s="748"/>
      <c r="BD44" s="695"/>
      <c r="BE44" s="695"/>
      <c r="BF44" s="695"/>
      <c r="BG44" s="695"/>
      <c r="BH44" s="695"/>
    </row>
    <row r="45" spans="1:71" ht="14.1" customHeight="1" thickTop="1" thickBot="1" x14ac:dyDescent="0.35">
      <c r="A45" s="968"/>
      <c r="B45" s="975"/>
      <c r="C45" s="976"/>
      <c r="D45" s="977"/>
      <c r="E45" s="921">
        <f t="shared" si="17"/>
        <v>17007</v>
      </c>
      <c r="F45" s="922" t="s">
        <v>2130</v>
      </c>
      <c r="G45" s="923" t="s">
        <v>1882</v>
      </c>
      <c r="H45" s="701" t="s">
        <v>1882</v>
      </c>
      <c r="I45" s="924"/>
      <c r="J45" s="978"/>
      <c r="K45" s="926"/>
      <c r="L45" s="979"/>
      <c r="M45" s="979"/>
      <c r="N45" s="980"/>
      <c r="O45" s="981"/>
      <c r="P45" s="954">
        <f t="shared" si="7"/>
        <v>0</v>
      </c>
      <c r="Q45" s="930">
        <v>0</v>
      </c>
      <c r="R45" s="931">
        <v>0</v>
      </c>
      <c r="S45" s="982">
        <f t="shared" si="18"/>
        <v>0</v>
      </c>
      <c r="T45" s="933"/>
      <c r="U45" s="930">
        <f t="shared" si="8"/>
        <v>1</v>
      </c>
      <c r="V45" s="715">
        <f>IF(OR( 'Val-Dép'!G45="cocontractant",    'Val-Dép'!G45="Intracomm.",  'Val-Dép'!I45="note de crédit",  'Val-Dép'!I45="Marchand-amball"),"0",PRODUCT(P45,Q45,U45))</f>
        <v>0</v>
      </c>
      <c r="W45" s="715" t="str">
        <f>IF(( 'Val-Dép'!I45="Marchand-amball"),PRODUCT(P45,Q45,U45),"0")</f>
        <v>0</v>
      </c>
      <c r="X45" s="934" t="str">
        <f>IF(OR('Val-Dép'!I45="note de crédit"), PRODUCT(P45,Q45,U45),"0")</f>
        <v>0</v>
      </c>
      <c r="Y45" s="935">
        <v>0</v>
      </c>
      <c r="Z45" s="936"/>
      <c r="AA45" s="934" t="str">
        <f t="shared" si="10"/>
        <v>0</v>
      </c>
      <c r="AB45" s="983">
        <f t="shared" si="11"/>
        <v>0</v>
      </c>
      <c r="AC45" s="984" t="str">
        <f>IF((H48="note de crédit"),SUM(S45,X45),"0")</f>
        <v>0</v>
      </c>
      <c r="AD45" s="934" t="str">
        <f t="shared" si="13"/>
        <v>0</v>
      </c>
      <c r="AE45" s="934" t="str">
        <f t="shared" si="14"/>
        <v>0</v>
      </c>
      <c r="AF45" s="938">
        <f t="shared" si="15"/>
        <v>0</v>
      </c>
      <c r="AG45" s="985"/>
      <c r="AH45" s="940">
        <f>$B$45</f>
        <v>0</v>
      </c>
      <c r="AI45" s="941">
        <f t="shared" si="16"/>
        <v>0</v>
      </c>
      <c r="AJ45" s="986"/>
      <c r="AK45" s="943"/>
      <c r="AL45" s="944">
        <f t="shared" si="19"/>
        <v>0</v>
      </c>
      <c r="AM45" s="945"/>
      <c r="AN45" s="4001" t="str">
        <f t="shared" si="20"/>
        <v>Compte pas ACTIF</v>
      </c>
      <c r="AO45" s="4002"/>
      <c r="AP45" s="748"/>
      <c r="AQ45" s="748"/>
      <c r="AR45" s="748"/>
      <c r="AS45" s="748"/>
      <c r="AT45" s="748"/>
      <c r="AU45" s="748"/>
      <c r="AV45" s="748"/>
      <c r="AW45" s="748"/>
      <c r="AX45" s="748"/>
      <c r="AY45" s="748"/>
      <c r="AZ45" s="748"/>
      <c r="BA45" s="748"/>
      <c r="BB45" s="748"/>
      <c r="BC45" s="748"/>
      <c r="BD45" s="695"/>
      <c r="BE45" s="695"/>
      <c r="BF45" s="695"/>
      <c r="BG45" s="695"/>
      <c r="BH45" s="695"/>
      <c r="BI45" s="695"/>
    </row>
    <row r="46" spans="1:71" s="748" customFormat="1" ht="14.1" customHeight="1" thickTop="1" thickBot="1" x14ac:dyDescent="0.3">
      <c r="A46" s="987"/>
      <c r="B46" s="988" t="s">
        <v>11</v>
      </c>
      <c r="C46" s="989"/>
      <c r="D46" s="990">
        <f>SUM(D35:D45)</f>
        <v>0</v>
      </c>
      <c r="E46" s="991"/>
      <c r="F46" s="992"/>
      <c r="G46" s="993"/>
      <c r="H46" s="701" t="s">
        <v>1882</v>
      </c>
      <c r="J46" s="995"/>
      <c r="K46" s="989">
        <v>1200</v>
      </c>
      <c r="L46" s="989"/>
      <c r="M46" s="989"/>
      <c r="N46" s="996"/>
      <c r="O46" s="997"/>
      <c r="P46" s="801">
        <f>SUM(P35:P45)</f>
        <v>5750</v>
      </c>
      <c r="S46" s="998">
        <f>SUM(S35:S45)</f>
        <v>5750</v>
      </c>
      <c r="T46" s="939">
        <v>0</v>
      </c>
      <c r="U46" s="989"/>
      <c r="V46" s="999">
        <f>SUM(V35:V45)</f>
        <v>0</v>
      </c>
      <c r="W46" s="999">
        <f>SUM(W35:W45)</f>
        <v>0</v>
      </c>
      <c r="X46" s="999">
        <f>SUM(X35:X45)</f>
        <v>0</v>
      </c>
      <c r="Y46" s="989"/>
      <c r="Z46" s="998">
        <f t="shared" ref="Z46:AF46" si="21">SUM(Z35:Z45)</f>
        <v>0</v>
      </c>
      <c r="AA46" s="999">
        <f t="shared" si="21"/>
        <v>0</v>
      </c>
      <c r="AB46" s="998">
        <f t="shared" si="21"/>
        <v>5750</v>
      </c>
      <c r="AC46" s="1000">
        <f t="shared" si="21"/>
        <v>0</v>
      </c>
      <c r="AD46" s="1000">
        <f t="shared" si="21"/>
        <v>0</v>
      </c>
      <c r="AE46" s="1000">
        <f t="shared" si="21"/>
        <v>0</v>
      </c>
      <c r="AF46" s="999">
        <f t="shared" si="21"/>
        <v>0</v>
      </c>
      <c r="AG46" s="989"/>
      <c r="AH46" s="989" t="s">
        <v>11</v>
      </c>
      <c r="AI46" s="989"/>
      <c r="AJ46" s="989"/>
      <c r="AK46" s="989"/>
      <c r="AL46" s="1001"/>
      <c r="AM46" s="1002">
        <f>SUM(AM35:AM45)</f>
        <v>0</v>
      </c>
      <c r="AN46" s="829"/>
      <c r="AO46" s="1003"/>
      <c r="AQ46" s="1003"/>
      <c r="AR46" s="801"/>
      <c r="AS46" s="801"/>
      <c r="AT46" s="600"/>
      <c r="AU46" s="600"/>
      <c r="AV46" s="1004"/>
      <c r="AW46" s="805"/>
      <c r="AX46" s="801"/>
    </row>
    <row r="47" spans="1:71" s="748" customFormat="1" ht="22.5" customHeight="1" thickTop="1" thickBot="1" x14ac:dyDescent="0.4">
      <c r="A47" s="793" t="s">
        <v>2053</v>
      </c>
      <c r="B47" s="3975" t="str">
        <f>IF(ROUND('VAL-INIT'!L61,2)=ROUND(D46,2),"V.I.Fournisseur. correcte","REVOIR V.I. Fournisseur")</f>
        <v>V.I.Fournisseur. correcte</v>
      </c>
      <c r="C47" s="3976"/>
      <c r="D47" s="3977"/>
      <c r="E47" s="794" t="s">
        <v>2054</v>
      </c>
      <c r="F47" s="795"/>
      <c r="G47" s="795"/>
      <c r="H47" s="701" t="s">
        <v>1882</v>
      </c>
      <c r="I47" s="796"/>
      <c r="J47" s="3971" t="s">
        <v>1767</v>
      </c>
      <c r="K47" s="3972"/>
      <c r="L47" s="3972"/>
      <c r="M47" s="3972"/>
      <c r="N47" s="3972"/>
      <c r="O47" s="3973"/>
      <c r="P47" s="600"/>
      <c r="Q47" s="600"/>
      <c r="R47" s="600"/>
      <c r="S47" s="600"/>
      <c r="T47" s="600"/>
      <c r="U47" s="600"/>
      <c r="V47" s="600"/>
      <c r="W47" s="600"/>
      <c r="X47" s="989" t="s">
        <v>2011</v>
      </c>
      <c r="Y47" s="600"/>
      <c r="Z47" s="600"/>
      <c r="AA47" s="600"/>
      <c r="AB47" s="1005" t="s">
        <v>1907</v>
      </c>
      <c r="AC47" s="805"/>
      <c r="AD47" s="805"/>
      <c r="AE47" s="805"/>
      <c r="AF47" s="801"/>
      <c r="AG47" s="801"/>
      <c r="AH47" s="801"/>
      <c r="AI47" s="801"/>
      <c r="AJ47" s="600"/>
      <c r="AK47" s="600"/>
      <c r="AL47" s="1006"/>
      <c r="AM47" s="1007"/>
      <c r="AN47" s="805"/>
      <c r="AO47" s="801"/>
    </row>
    <row r="48" spans="1:71" s="748" customFormat="1" ht="15" customHeight="1" thickTop="1" thickBot="1" x14ac:dyDescent="0.35">
      <c r="A48" s="600"/>
      <c r="B48" s="3968" t="s">
        <v>1767</v>
      </c>
      <c r="C48" s="3969"/>
      <c r="D48" s="3970"/>
      <c r="E48" s="1008" t="s">
        <v>1878</v>
      </c>
      <c r="F48" s="602"/>
      <c r="G48" s="602"/>
      <c r="H48" s="994" t="s">
        <v>11</v>
      </c>
      <c r="I48" s="804"/>
      <c r="J48" s="804"/>
      <c r="K48" s="801"/>
      <c r="L48" s="801"/>
      <c r="M48" s="829"/>
      <c r="N48" s="830"/>
      <c r="O48" s="3995" t="s">
        <v>1787</v>
      </c>
      <c r="P48" s="3995"/>
      <c r="Q48" s="3995"/>
      <c r="R48" s="801"/>
      <c r="S48" s="3994" t="s">
        <v>1768</v>
      </c>
      <c r="T48" s="3994"/>
      <c r="U48" s="1009">
        <f>SUM(V46:W46)</f>
        <v>0</v>
      </c>
      <c r="V48" s="1010" t="s">
        <v>1788</v>
      </c>
      <c r="W48" s="1011">
        <f>X46</f>
        <v>0</v>
      </c>
      <c r="X48" s="999" t="s">
        <v>2051</v>
      </c>
      <c r="Y48" s="1012"/>
      <c r="Z48" s="1012"/>
      <c r="AB48" s="1013" t="s">
        <v>200</v>
      </c>
      <c r="AC48" s="833"/>
      <c r="AD48" s="834"/>
      <c r="AE48" s="1014"/>
      <c r="AF48" s="1014"/>
      <c r="AG48" s="1014"/>
      <c r="AH48" s="3993" t="s">
        <v>1903</v>
      </c>
      <c r="AI48" s="3993"/>
      <c r="AJ48" s="3993"/>
      <c r="AK48" s="3993"/>
      <c r="AL48" s="3993"/>
      <c r="AM48" s="1015">
        <f>AM46</f>
        <v>0</v>
      </c>
    </row>
    <row r="49" spans="1:39" s="748" customFormat="1" ht="15" customHeight="1" thickTop="1" x14ac:dyDescent="0.3">
      <c r="B49" s="3964" t="s">
        <v>2070</v>
      </c>
      <c r="C49" s="3965"/>
      <c r="D49" s="1016">
        <f>'VAL-INIT'!L61</f>
        <v>0</v>
      </c>
      <c r="E49" s="824"/>
      <c r="F49" s="602"/>
      <c r="G49" s="804"/>
      <c r="H49" s="795"/>
      <c r="I49" s="804"/>
      <c r="J49" s="801"/>
      <c r="K49" s="801"/>
      <c r="L49" s="829"/>
      <c r="M49" s="830"/>
      <c r="N49" s="804"/>
      <c r="O49" s="804"/>
      <c r="P49" s="804"/>
      <c r="Q49" s="801"/>
      <c r="R49" s="1017"/>
      <c r="S49" s="1017"/>
      <c r="T49" s="1017"/>
      <c r="U49" s="1018"/>
      <c r="V49" s="1018"/>
      <c r="W49" s="816"/>
      <c r="X49" s="1019" t="s">
        <v>13</v>
      </c>
      <c r="Y49" s="1012"/>
      <c r="AA49" s="791"/>
      <c r="AB49" s="833"/>
      <c r="AC49" s="834"/>
      <c r="AD49" s="1014"/>
      <c r="AE49" s="1014"/>
      <c r="AF49" s="1014"/>
      <c r="AG49" s="1014"/>
    </row>
    <row r="50" spans="1:39" s="748" customFormat="1" ht="15" customHeight="1" x14ac:dyDescent="0.3">
      <c r="A50" s="1020"/>
      <c r="B50" s="1020"/>
      <c r="C50" s="1020"/>
      <c r="D50" s="791"/>
      <c r="E50" s="824"/>
      <c r="F50" s="602"/>
      <c r="G50" s="804"/>
      <c r="H50" s="804"/>
      <c r="I50" s="804"/>
      <c r="J50" s="801"/>
      <c r="K50" s="801">
        <v>10</v>
      </c>
      <c r="L50" s="829"/>
      <c r="M50" s="830"/>
      <c r="N50" s="804"/>
      <c r="O50" s="804"/>
      <c r="P50" s="804"/>
      <c r="Q50" s="801"/>
      <c r="R50" s="1017"/>
      <c r="S50" s="1017"/>
      <c r="T50" s="1017"/>
      <c r="U50" s="1018">
        <v>20</v>
      </c>
      <c r="V50" s="1018"/>
      <c r="W50" s="816"/>
      <c r="X50" s="1019" t="s">
        <v>2012</v>
      </c>
      <c r="Y50" s="1012"/>
      <c r="AA50" s="791"/>
      <c r="AB50" s="833"/>
      <c r="AC50" s="834"/>
      <c r="AD50" s="1014"/>
      <c r="AE50" s="1014">
        <v>30</v>
      </c>
      <c r="AF50" s="1014"/>
      <c r="AG50" s="1014"/>
      <c r="AM50" s="748">
        <v>38</v>
      </c>
    </row>
    <row r="51" spans="1:39" s="748" customFormat="1" ht="25.5" customHeight="1" x14ac:dyDescent="0.35">
      <c r="A51" s="3592"/>
      <c r="B51" s="3593"/>
      <c r="C51" s="3593"/>
      <c r="D51" s="3593"/>
      <c r="E51" s="3593"/>
      <c r="F51" s="3594"/>
      <c r="G51" s="804"/>
      <c r="H51" s="804"/>
      <c r="I51" s="804"/>
      <c r="J51" s="801"/>
      <c r="K51" s="801"/>
      <c r="L51" s="829"/>
      <c r="M51" s="830"/>
      <c r="N51" s="804"/>
      <c r="O51" s="804"/>
      <c r="P51" s="804"/>
      <c r="Q51" s="801"/>
      <c r="R51" s="1017"/>
      <c r="S51" s="1017"/>
      <c r="T51" s="1017"/>
      <c r="U51" s="1018"/>
      <c r="V51" s="1018"/>
      <c r="W51" s="816"/>
      <c r="X51" s="1019" t="s">
        <v>2050</v>
      </c>
      <c r="Y51" s="1012"/>
      <c r="AA51" s="791"/>
      <c r="AB51" s="833"/>
      <c r="AC51" s="834"/>
      <c r="AD51" s="1014"/>
      <c r="AE51" s="1014"/>
      <c r="AF51" s="1014"/>
      <c r="AG51" s="1014"/>
    </row>
    <row r="52" spans="1:39" s="748" customFormat="1" ht="25.5" customHeight="1" x14ac:dyDescent="0.35">
      <c r="A52" s="3564"/>
      <c r="B52" s="3565"/>
      <c r="C52" s="3565"/>
      <c r="D52" s="3565"/>
      <c r="E52" s="3565"/>
      <c r="F52" s="3566"/>
      <c r="G52" s="804"/>
      <c r="H52" s="804"/>
      <c r="I52" s="804"/>
      <c r="J52" s="801"/>
      <c r="K52" s="801"/>
      <c r="L52" s="829"/>
      <c r="M52" s="830"/>
      <c r="N52" s="804"/>
      <c r="O52" s="804"/>
      <c r="P52" s="804"/>
      <c r="Q52" s="801"/>
      <c r="R52" s="1017"/>
      <c r="S52" s="1017"/>
      <c r="T52" s="1017"/>
      <c r="U52" s="1018"/>
      <c r="V52" s="1018"/>
      <c r="W52" s="816"/>
      <c r="X52" s="1019"/>
      <c r="Y52" s="1012"/>
      <c r="AA52" s="791"/>
      <c r="AB52" s="833"/>
      <c r="AC52" s="834"/>
      <c r="AD52" s="1014"/>
      <c r="AE52" s="1014"/>
      <c r="AF52" s="1014"/>
      <c r="AG52" s="1014"/>
    </row>
    <row r="53" spans="1:39" ht="14.1" customHeight="1" x14ac:dyDescent="0.35">
      <c r="A53" s="3564"/>
      <c r="B53" s="3999" t="s">
        <v>2434</v>
      </c>
      <c r="C53" s="3999"/>
      <c r="D53" s="3999"/>
      <c r="E53" s="3565"/>
      <c r="F53" s="3566"/>
      <c r="G53" s="804"/>
      <c r="H53" s="804"/>
      <c r="I53" s="804"/>
      <c r="J53" s="736"/>
      <c r="K53" s="736"/>
      <c r="L53" s="1034"/>
      <c r="M53" s="694"/>
      <c r="N53" s="694"/>
      <c r="O53" s="694"/>
      <c r="P53" s="723"/>
      <c r="Q53" s="723"/>
      <c r="R53" s="695"/>
      <c r="S53" s="695"/>
      <c r="T53" s="695"/>
      <c r="U53" s="694"/>
      <c r="V53" s="694"/>
      <c r="W53" s="1032"/>
    </row>
    <row r="54" spans="1:39" ht="23.4" thickBot="1" x14ac:dyDescent="0.45">
      <c r="A54" s="893" t="s">
        <v>21</v>
      </c>
      <c r="B54" s="894" t="s">
        <v>1775</v>
      </c>
      <c r="C54" s="3593" t="s">
        <v>2434</v>
      </c>
      <c r="D54" s="3593"/>
      <c r="E54" s="3593"/>
      <c r="F54" s="3607" t="s">
        <v>2464</v>
      </c>
      <c r="G54" s="3989"/>
      <c r="H54" s="3989"/>
      <c r="I54" s="3567"/>
      <c r="K54" s="723"/>
      <c r="L54" s="723"/>
      <c r="M54" s="723"/>
      <c r="N54" s="723"/>
      <c r="O54" s="723"/>
      <c r="P54" s="695"/>
      <c r="Q54" s="695"/>
      <c r="R54" s="695"/>
      <c r="S54" s="695"/>
      <c r="T54" s="695"/>
      <c r="U54" s="694"/>
      <c r="V54" s="694"/>
      <c r="W54" s="1032"/>
    </row>
    <row r="55" spans="1:39" ht="16.2" thickTop="1" x14ac:dyDescent="0.3">
      <c r="A55" s="918"/>
      <c r="B55" s="919"/>
      <c r="C55" s="3539"/>
      <c r="D55" s="3569" t="s">
        <v>2435</v>
      </c>
      <c r="E55" s="3570" t="str">
        <f>IF(D55="Banque","550",IF(D55="Bq post","560",IF(D55="caisse","570",IF(D55="BQ vers post","550&gt;560",IF(D55="BQ vers caisse","550&gt;570",IF(D55="Remb BQ vers Crédit","550&gt;173",IF(D55="POST vers BQ","560&gt;550",IF(D55="POST vers caisse","560&gt;570",IF(D55="Remb POST vers crédit","560&gt;173",IF(D55="CAISSE vers  BQ","570&gt;550",IF(D55="CAISSE vers post","570&gt;560",IF(D55="Remb CAISSE vers  Crédit","570&gt;173",IF(D55="Transf CREDIT-Banq","173&gt;550",IF(D55="Transf CREDIT-Post","173&gt;560",IF(D55="Transf CREDIT-Caisse","173&gt;570",IF(D55="crédit+1an","173",  IF(D55="crédit-1an","430", IF(D55="transf CREDIT-Caisse","173&gt;570", IF(D55="Emprunt Bq-1an","439", IF(D55="Emprunt Bq+1an","174", IF(D55="Emprunts-1an","439",IF(D55="Emprunts+1an","174",  IF(D55="**",0)))))))))))))))))))))))</f>
        <v>550&gt;560</v>
      </c>
      <c r="F55" s="3591">
        <v>100</v>
      </c>
      <c r="G55" s="3569" t="s">
        <v>1647</v>
      </c>
      <c r="H55" s="3570" t="str">
        <f>IF(G55="Banque","550",IF(G55="Bq post","560",IF(G55="caisse","570",IF(G55="BQ vers post","550&gt;560",IF(G55="BQ vers caisse","550&gt;570",IF(G55="Remb BQ vers Crédit","550&gt;173",IF(G55="POST vers BQ","560&gt;550",IF(G55="POST vers caisse","560&gt;570",IF(G55="Remb POST vers crédit","560&gt;173",IF(G55="CAISSE vers  BQ","570&gt;550",IF(G55="CAISSE vers post","570&gt;560",IF(G55="Remb CAISSE vers  Crédit","570&gt;173",IF(G55="Transf CREDIT-Banq","173&gt;550",IF(G55="Transf CREDIT-Post","173&gt;560",IF(G55="Transf CREDIT-Caisse","173&gt;570",IF(G55="crédit+1an","173",IF(G55="transf CREDIT-Caisse","173&gt;570",IF(G55="**",0))))))))))))))))))</f>
        <v>570</v>
      </c>
      <c r="I55" s="3591">
        <v>100</v>
      </c>
      <c r="J55" s="695"/>
      <c r="K55" s="695"/>
      <c r="L55" s="1036"/>
      <c r="M55" s="694"/>
      <c r="N55" s="695"/>
      <c r="O55" s="695"/>
      <c r="P55" s="723"/>
      <c r="Q55" s="723"/>
      <c r="R55" s="723"/>
      <c r="S55" s="723"/>
      <c r="T55" s="723"/>
      <c r="U55" s="723"/>
      <c r="V55" s="694"/>
      <c r="W55" s="1032"/>
    </row>
    <row r="56" spans="1:39" ht="15.6" x14ac:dyDescent="0.3">
      <c r="A56" s="946"/>
      <c r="B56" s="2852"/>
      <c r="C56" s="3538"/>
      <c r="D56" s="3569" t="s">
        <v>2467</v>
      </c>
      <c r="E56" s="3570" t="str">
        <f>IF(D56="Banque","550",IF(D56="Bq post","560",IF(D56="caisse","570",IF(D56="BQ vers post","550&gt;560",IF(D56="BQ vers caisse","550&gt;570",IF(D56="Remb BQ vers Crédit","550&gt;173",IF(D56="POST vers BQ","560&gt;550",IF(D56="POST vers caisse","560&gt;570",IF(D56="Remb POST vers crédit","560&gt;173",IF(D56="CAISSE vers  BQ","570&gt;550",IF(D56="CAISSE vers post","570&gt;560",IF(D56="Remb CAISSE vers  Crédit","570&gt;173",IF(D56="Transf CREDIT-Banq","173&gt;550",IF(D56="Transf CREDIT-Post","173&gt;560",IF(D56="Transf CREDIT-Caisse","173&gt;570",IF(D56="crédit+1an","173",  IF(D56="crédit-1an","430", IF(D56="transf CREDIT-Caisse","173&gt;570", IF(D56="Emprunt Bq-1an","439", IF(D56="Emprunt Bq+1an","174",  IF(D56="**",0)))))))))))))))))))))</f>
        <v>173</v>
      </c>
      <c r="F56" s="3591"/>
      <c r="G56" s="3569" t="s">
        <v>2467</v>
      </c>
      <c r="H56" s="3570" t="str">
        <f>IF(G56="Banque","550",IF(G56="Bq post","560",IF(G56="caisse","570",IF(G56="BQ vers post","550&gt;560",IF(G56="BQ vers caisse","550&gt;570",IF(G56="Remb BQ vers Crédit","550&gt;173",IF(G56="POST vers BQ","560&gt;550",IF(G56="POST vers caisse","560&gt;570",IF(G56="Remb POST vers crédit","560&gt;173",IF(G56="CAISSE vers  BQ","570&gt;550",IF(G56="CAISSE vers post","570&gt;560",IF(G56="Remb CAISSE vers  Crédit","570&gt;173",IF(G56="Transf CREDIT-Banq","173&gt;550",IF(G56="Transf CREDIT-Post","173&gt;560",IF(G56="Transf CREDIT-Caisse","173&gt;570",IF(G56="crédit+1an","173",IF(G56="transf CREDIT-Caisse","173&gt;570",IF(G56="**",0))))))))))))))))))</f>
        <v>173</v>
      </c>
      <c r="I56" s="3591"/>
      <c r="J56" s="695"/>
      <c r="K56" s="723"/>
      <c r="L56" s="723"/>
      <c r="M56" s="723"/>
      <c r="N56" s="723"/>
      <c r="O56" s="723"/>
      <c r="P56" s="695"/>
      <c r="Q56" s="695"/>
      <c r="R56" s="695"/>
      <c r="S56" s="695"/>
      <c r="T56" s="695"/>
      <c r="U56" s="694"/>
      <c r="V56" s="694"/>
      <c r="W56" s="1032"/>
    </row>
    <row r="57" spans="1:39" ht="15.6" x14ac:dyDescent="0.3">
      <c r="A57" s="956"/>
      <c r="B57" s="947"/>
      <c r="C57" s="3540"/>
      <c r="D57" s="3569" t="s">
        <v>2495</v>
      </c>
      <c r="E57" s="3570" t="str">
        <f t="shared" ref="E57:E65" si="22">IF(D57="Banque","550",IF(D57="Bq post","560",IF(D57="caisse","570",IF(D57="BQ vers post","550&gt;560",IF(D57="BQ vers caisse","550&gt;570",IF(D57="Remb BQ vers Crédit","550&gt;173",IF(D57="POST vers BQ","560&gt;550",IF(D57="POST vers caisse","560&gt;570",IF(D57="Remb POST vers crédit","560&gt;173",IF(D57="CAISSE vers  BQ","570&gt;550",IF(D57="CAISSE vers post","570&gt;560",IF(D57="Remb CAISSE vers  Crédit","570&gt;173",IF(D57="Transf CREDIT-Banq","173&gt;550",IF(D57="Transf CREDIT-Post","173&gt;560",IF(D57="Transf CREDIT-Caisse","173&gt;570",IF(D57="crédit+1an","173",  IF(D57="crédit-1an","430", IF(D57="transf CREDIT-Caisse","173&gt;570", IF(D57="Emprunt Bq-1an","439", IF(D57="Emprunt Bq+1an","174",  IF(D57="**",0)))))))))))))))))))))</f>
        <v>430</v>
      </c>
      <c r="F57" s="3591"/>
      <c r="G57" s="3569" t="s">
        <v>1647</v>
      </c>
      <c r="H57" s="3570" t="str">
        <f t="shared" ref="H57:H60" si="23">IF(G57="Banque","550",IF(G57="Bq post","560",IF(G57="caisse","570",IF(G57="BQ vers post","550&gt;560",IF(G57="BQ vers caisse","550&gt;570",IF(G57="Remb BQ vers Crédit","550&gt;173",IF(G57="POST vers BQ","560&gt;550",IF(G57="POST vers caisse","560&gt;570",IF(G57="Remb POST vers crédit","560&gt;173",IF(G57="CAISSE vers  BQ","570&gt;550",IF(G57="CAISSE vers post","570&gt;560",IF(G57="Remb CAISSE vers  Crédit","570&gt;173",IF(G57="Transf CREDIT-Banq","173&gt;550",IF(G57="Transf CREDIT-Post","173&gt;560",IF(G57="Transf CREDIT-Caisse","173&gt;570",IF(G57="crédit+1an","173",IF(G57="transf CREDIT-Caisse","173&gt;570",IF(G57="**",0))))))))))))))))))</f>
        <v>570</v>
      </c>
      <c r="I57" s="3591"/>
      <c r="J57" s="695"/>
      <c r="K57" s="695"/>
      <c r="L57" s="1036"/>
      <c r="M57" s="694"/>
      <c r="N57" s="695"/>
      <c r="O57" s="695"/>
      <c r="P57" s="695"/>
      <c r="Q57" s="695"/>
      <c r="R57" s="695"/>
      <c r="S57" s="695"/>
      <c r="T57" s="695"/>
      <c r="U57" s="694"/>
      <c r="V57" s="694"/>
      <c r="W57" s="1032"/>
    </row>
    <row r="58" spans="1:39" ht="15.6" x14ac:dyDescent="0.3">
      <c r="A58" s="956"/>
      <c r="B58" s="947"/>
      <c r="C58" s="957"/>
      <c r="D58" s="3569" t="s">
        <v>2495</v>
      </c>
      <c r="E58" s="3570" t="str">
        <f t="shared" si="22"/>
        <v>430</v>
      </c>
      <c r="F58" s="3591"/>
      <c r="G58" s="3569" t="s">
        <v>1647</v>
      </c>
      <c r="H58" s="3570" t="str">
        <f t="shared" si="23"/>
        <v>570</v>
      </c>
      <c r="I58" s="3591"/>
      <c r="J58" s="695"/>
      <c r="K58" s="695"/>
      <c r="L58" s="1036"/>
      <c r="M58" s="694"/>
      <c r="N58" s="695"/>
      <c r="O58" s="695"/>
      <c r="P58" s="695"/>
      <c r="Q58" s="695"/>
      <c r="R58" s="695"/>
      <c r="S58" s="695"/>
      <c r="T58" s="695"/>
      <c r="U58" s="694"/>
      <c r="V58" s="694"/>
      <c r="W58" s="1032"/>
    </row>
    <row r="59" spans="1:39" ht="15.6" x14ac:dyDescent="0.3">
      <c r="A59" s="956"/>
      <c r="B59" s="947"/>
      <c r="C59" s="948"/>
      <c r="D59" s="3569" t="s">
        <v>2495</v>
      </c>
      <c r="E59" s="3570" t="str">
        <f t="shared" si="22"/>
        <v>430</v>
      </c>
      <c r="F59" s="3591"/>
      <c r="G59" s="3569" t="s">
        <v>2467</v>
      </c>
      <c r="H59" s="3570" t="str">
        <f t="shared" si="23"/>
        <v>173</v>
      </c>
      <c r="I59" s="3591"/>
      <c r="J59" s="695"/>
      <c r="K59" s="695"/>
      <c r="L59" s="1036"/>
      <c r="M59" s="694"/>
      <c r="N59" s="695"/>
      <c r="O59" s="695"/>
      <c r="P59" s="694"/>
      <c r="Q59" s="694"/>
      <c r="R59" s="694"/>
      <c r="S59" s="694"/>
      <c r="T59" s="694"/>
      <c r="U59" s="694"/>
      <c r="V59" s="694"/>
      <c r="W59" s="695"/>
    </row>
    <row r="60" spans="1:39" ht="15.6" x14ac:dyDescent="0.3">
      <c r="A60" s="946"/>
      <c r="B60" s="947"/>
      <c r="C60" s="948"/>
      <c r="D60" s="3569" t="s">
        <v>2495</v>
      </c>
      <c r="E60" s="3570" t="str">
        <f t="shared" si="22"/>
        <v>430</v>
      </c>
      <c r="F60" s="3591"/>
      <c r="G60" s="3569" t="s">
        <v>2467</v>
      </c>
      <c r="H60" s="3570" t="str">
        <f t="shared" si="23"/>
        <v>173</v>
      </c>
      <c r="I60" s="3591"/>
      <c r="J60" s="694"/>
      <c r="K60" s="694"/>
      <c r="L60" s="694"/>
      <c r="M60" s="694"/>
      <c r="N60" s="694"/>
      <c r="O60" s="694"/>
      <c r="P60" s="695"/>
      <c r="Q60" s="695"/>
      <c r="R60" s="695"/>
      <c r="S60" s="695"/>
      <c r="T60" s="695"/>
      <c r="U60" s="694"/>
      <c r="V60" s="694"/>
      <c r="W60" s="695"/>
    </row>
    <row r="61" spans="1:39" ht="15.6" x14ac:dyDescent="0.3">
      <c r="A61" s="956"/>
      <c r="B61" s="947"/>
      <c r="C61" s="961"/>
      <c r="D61" s="3569" t="s">
        <v>2495</v>
      </c>
      <c r="E61" s="3570" t="str">
        <f t="shared" si="22"/>
        <v>430</v>
      </c>
      <c r="F61" s="3591"/>
      <c r="G61" s="3569" t="s">
        <v>2467</v>
      </c>
      <c r="H61" s="3570" t="str">
        <f t="shared" ref="H61:H66" si="24">IF(G61="Banque","550",IF(G61="Bq post","560",IF(G61="caisse","570",IF(G61="BQ vers post","550&gt;560",IF(G61="BQ vers caisse","550&gt;570",IF(G61="Remb BQ vers Crédit","550&gt;173",IF(G61="POST vers BQ","560&gt;550",IF(G61="POST vers caisse","560&gt;570",IF(G61="Remb POST vers crédit","560&gt;173",IF(G61="CAISSE vers  BQ","570&gt;550",IF(G61="CAISSE vers post","570&gt;560",IF(G61="Remb CAISSE vers  Crédit","570&gt;173",IF(G61="Transf CREDIT-Banq","173&gt;550",IF(G61="Transf CREDIT-Post","173&gt;560",IF(G61="Transf CREDIT-Caisse","173&gt;570",IF(G61="crédit+1an","173",IF(G61="transf CREDIT-Caisse","173&gt;570",IF(G61="**",0))))))))))))))))))</f>
        <v>173</v>
      </c>
      <c r="I61" s="3591"/>
      <c r="J61" s="695"/>
      <c r="K61" s="695"/>
      <c r="L61" s="1036"/>
      <c r="M61" s="694"/>
      <c r="N61" s="695"/>
      <c r="O61" s="695"/>
      <c r="P61" s="695"/>
      <c r="Q61" s="695"/>
      <c r="R61" s="695"/>
      <c r="S61" s="695"/>
      <c r="T61" s="695"/>
      <c r="U61" s="694"/>
      <c r="V61" s="694"/>
      <c r="W61" s="695"/>
    </row>
    <row r="62" spans="1:39" ht="15.6" x14ac:dyDescent="0.3">
      <c r="A62" s="962"/>
      <c r="B62" s="947"/>
      <c r="C62" s="961"/>
      <c r="D62" s="3569" t="s">
        <v>2497</v>
      </c>
      <c r="E62" s="3570" t="str">
        <f t="shared" si="22"/>
        <v>439</v>
      </c>
      <c r="F62" s="3591"/>
      <c r="G62" s="3569" t="s">
        <v>2467</v>
      </c>
      <c r="H62" s="3570" t="str">
        <f t="shared" si="24"/>
        <v>173</v>
      </c>
      <c r="I62" s="3591"/>
      <c r="J62" s="695"/>
      <c r="K62" s="695"/>
      <c r="L62" s="1036"/>
      <c r="M62" s="694"/>
      <c r="N62" s="695"/>
      <c r="O62" s="695"/>
      <c r="P62" s="695"/>
      <c r="Q62" s="695"/>
      <c r="R62" s="695"/>
      <c r="S62" s="695"/>
      <c r="T62" s="695"/>
      <c r="U62" s="694"/>
      <c r="V62" s="694"/>
      <c r="W62" s="695"/>
    </row>
    <row r="63" spans="1:39" ht="16.2" thickBot="1" x14ac:dyDescent="0.35">
      <c r="A63" s="963"/>
      <c r="B63" s="947"/>
      <c r="C63" s="961"/>
      <c r="D63" s="3569" t="s">
        <v>2495</v>
      </c>
      <c r="E63" s="3570" t="str">
        <f t="shared" si="22"/>
        <v>430</v>
      </c>
      <c r="F63" s="3591"/>
      <c r="G63" s="3569" t="s">
        <v>2467</v>
      </c>
      <c r="H63" s="3570" t="str">
        <f t="shared" si="24"/>
        <v>173</v>
      </c>
      <c r="I63" s="3591"/>
      <c r="J63" s="694"/>
      <c r="K63" s="694"/>
      <c r="L63" s="1034"/>
      <c r="M63" s="694"/>
      <c r="N63" s="695"/>
      <c r="O63" s="695"/>
      <c r="P63" s="695"/>
      <c r="Q63" s="695"/>
      <c r="R63" s="695"/>
      <c r="S63" s="695"/>
      <c r="T63" s="695"/>
      <c r="U63" s="694"/>
      <c r="V63" s="694"/>
      <c r="W63" s="695"/>
    </row>
    <row r="64" spans="1:39" ht="15.6" x14ac:dyDescent="0.3">
      <c r="A64" s="968"/>
      <c r="B64" s="947"/>
      <c r="C64" s="961"/>
      <c r="D64" s="3569" t="s">
        <v>2495</v>
      </c>
      <c r="E64" s="3570" t="str">
        <f t="shared" si="22"/>
        <v>430</v>
      </c>
      <c r="F64" s="3591"/>
      <c r="G64" s="3569" t="s">
        <v>2467</v>
      </c>
      <c r="H64" s="3570" t="str">
        <f t="shared" si="24"/>
        <v>173</v>
      </c>
      <c r="I64" s="3591"/>
      <c r="J64" s="694"/>
      <c r="K64" s="694"/>
      <c r="L64" s="1034"/>
      <c r="M64" s="694"/>
      <c r="N64" s="695"/>
      <c r="O64" s="695"/>
      <c r="P64" s="695"/>
      <c r="Q64" s="695"/>
      <c r="R64" s="695"/>
      <c r="S64" s="695"/>
      <c r="T64" s="695"/>
      <c r="U64" s="694"/>
      <c r="V64" s="694"/>
      <c r="W64" s="695"/>
    </row>
    <row r="65" spans="1:29" ht="16.2" thickBot="1" x14ac:dyDescent="0.35">
      <c r="A65" s="968"/>
      <c r="B65" s="975"/>
      <c r="C65" s="976"/>
      <c r="D65" s="3569" t="s">
        <v>2495</v>
      </c>
      <c r="E65" s="3570" t="str">
        <f t="shared" si="22"/>
        <v>430</v>
      </c>
      <c r="F65" s="3591"/>
      <c r="G65" s="3569" t="s">
        <v>2467</v>
      </c>
      <c r="H65" s="3570" t="str">
        <f t="shared" si="24"/>
        <v>173</v>
      </c>
      <c r="I65" s="3591"/>
      <c r="J65" s="1037"/>
      <c r="K65" s="1037"/>
      <c r="L65" s="1037"/>
      <c r="M65" s="1037"/>
      <c r="N65" s="1037"/>
      <c r="O65" s="695"/>
      <c r="P65" s="695"/>
      <c r="Q65" s="695"/>
      <c r="R65" s="695"/>
      <c r="S65" s="695"/>
      <c r="T65" s="695"/>
      <c r="U65" s="694"/>
      <c r="V65" s="694"/>
      <c r="W65" s="695"/>
    </row>
    <row r="66" spans="1:29" ht="16.2" thickTop="1" x14ac:dyDescent="0.3">
      <c r="A66" s="987"/>
      <c r="B66" s="988" t="s">
        <v>11</v>
      </c>
      <c r="C66" s="989"/>
      <c r="D66" s="736"/>
      <c r="E66" s="3568"/>
      <c r="F66" s="3591"/>
      <c r="G66" s="3569" t="s">
        <v>2467</v>
      </c>
      <c r="H66" s="3570" t="str">
        <f t="shared" si="24"/>
        <v>173</v>
      </c>
      <c r="I66" s="3568"/>
      <c r="J66" s="1037"/>
      <c r="K66" s="1037"/>
      <c r="L66" s="1037"/>
      <c r="M66" s="1037"/>
      <c r="N66" s="1037"/>
      <c r="O66" s="695"/>
      <c r="P66" s="695"/>
      <c r="Q66" s="695"/>
      <c r="R66" s="695"/>
      <c r="S66" s="695"/>
      <c r="T66" s="695"/>
      <c r="U66" s="694"/>
      <c r="V66" s="694"/>
      <c r="W66" s="695"/>
    </row>
    <row r="67" spans="1:29" x14ac:dyDescent="0.25">
      <c r="A67" s="736"/>
      <c r="B67" s="3595"/>
      <c r="C67" s="3595"/>
      <c r="D67" s="1013"/>
      <c r="E67" s="3595"/>
      <c r="F67" s="3596"/>
      <c r="G67" s="736"/>
      <c r="H67" s="1033"/>
      <c r="I67" s="1033"/>
      <c r="J67" s="1037"/>
      <c r="K67" s="1037"/>
      <c r="L67" s="1037"/>
      <c r="M67" s="1037"/>
      <c r="N67" s="1037"/>
      <c r="O67" s="695"/>
      <c r="P67" s="695"/>
      <c r="Q67" s="695"/>
      <c r="R67" s="695"/>
      <c r="S67" s="695"/>
      <c r="T67" s="695"/>
      <c r="U67" s="694"/>
      <c r="V67" s="694"/>
      <c r="W67" s="695"/>
    </row>
    <row r="68" spans="1:29" x14ac:dyDescent="0.25">
      <c r="A68" s="736"/>
      <c r="B68" s="3597"/>
      <c r="C68" s="3595"/>
      <c r="D68" s="1013"/>
      <c r="E68" s="1013"/>
      <c r="F68" s="3598"/>
      <c r="G68" s="736"/>
      <c r="H68" s="1033"/>
      <c r="I68" s="1033"/>
      <c r="J68" s="1037"/>
      <c r="K68" s="1037"/>
      <c r="L68" s="1037"/>
      <c r="M68" s="1037"/>
      <c r="N68" s="1037"/>
      <c r="O68" s="695"/>
      <c r="P68" s="695"/>
      <c r="Q68" s="695"/>
      <c r="R68" s="695"/>
      <c r="S68" s="695"/>
      <c r="T68" s="695"/>
      <c r="U68" s="694"/>
      <c r="V68" s="694"/>
      <c r="W68" s="695"/>
    </row>
    <row r="69" spans="1:29" x14ac:dyDescent="0.25">
      <c r="A69" s="695"/>
      <c r="B69" s="695"/>
      <c r="C69" s="695"/>
      <c r="D69" s="694"/>
      <c r="E69" s="694"/>
      <c r="F69" s="694"/>
      <c r="G69" s="694"/>
      <c r="H69" s="694"/>
      <c r="I69" s="694"/>
      <c r="J69" s="694"/>
      <c r="K69" s="694"/>
      <c r="L69" s="694"/>
      <c r="M69" s="694"/>
      <c r="N69" s="694"/>
      <c r="O69" s="695"/>
      <c r="P69" s="695"/>
      <c r="Q69" s="695"/>
      <c r="R69" s="695"/>
      <c r="S69" s="695"/>
      <c r="T69" s="695"/>
      <c r="U69" s="694"/>
      <c r="V69" s="694"/>
      <c r="W69" s="695"/>
    </row>
    <row r="70" spans="1:29" x14ac:dyDescent="0.25">
      <c r="A70" s="695"/>
      <c r="B70" s="1037"/>
      <c r="C70" s="694"/>
      <c r="D70" s="1037"/>
      <c r="E70" s="694"/>
      <c r="F70" s="1035"/>
      <c r="G70" s="695"/>
      <c r="H70" s="695"/>
      <c r="I70" s="695"/>
      <c r="J70" s="695"/>
      <c r="K70" s="695"/>
      <c r="L70" s="1036"/>
      <c r="M70" s="694"/>
      <c r="N70" s="695"/>
      <c r="O70" s="695"/>
      <c r="P70" s="1037"/>
      <c r="Q70" s="1037"/>
      <c r="R70" s="695"/>
      <c r="S70" s="695"/>
      <c r="T70" s="695"/>
      <c r="U70" s="694"/>
      <c r="V70" s="694"/>
      <c r="W70" s="695"/>
    </row>
    <row r="71" spans="1:29" x14ac:dyDescent="0.25">
      <c r="A71" s="695"/>
      <c r="B71" s="1037"/>
      <c r="C71" s="1037"/>
      <c r="D71" s="694"/>
      <c r="E71" s="1037"/>
      <c r="F71" s="1037"/>
      <c r="G71" s="1037"/>
      <c r="H71" s="1037"/>
      <c r="I71" s="1037"/>
      <c r="J71" s="1037"/>
      <c r="K71" s="1037"/>
      <c r="L71" s="1037"/>
      <c r="M71" s="1037"/>
      <c r="N71" s="1037"/>
      <c r="O71" s="1037"/>
      <c r="P71" s="695"/>
      <c r="Q71" s="695"/>
      <c r="R71" s="695"/>
      <c r="S71" s="695"/>
      <c r="T71" s="695"/>
      <c r="U71" s="694"/>
      <c r="V71" s="694"/>
      <c r="W71" s="695"/>
    </row>
    <row r="72" spans="1:29" x14ac:dyDescent="0.25">
      <c r="A72" s="695"/>
      <c r="B72" s="1037"/>
      <c r="C72" s="1037"/>
      <c r="D72" s="1037"/>
      <c r="E72" s="694"/>
      <c r="F72" s="694"/>
      <c r="G72" s="694"/>
      <c r="H72" s="694"/>
      <c r="I72" s="694"/>
      <c r="J72" s="694"/>
      <c r="K72" s="694"/>
      <c r="L72" s="694"/>
      <c r="M72" s="694"/>
      <c r="N72" s="694"/>
      <c r="O72" s="695"/>
      <c r="P72" s="1037"/>
      <c r="Q72" s="1037"/>
      <c r="R72" s="723"/>
      <c r="S72" s="723"/>
      <c r="T72" s="723"/>
      <c r="U72" s="723"/>
      <c r="V72" s="694"/>
      <c r="W72" s="695"/>
    </row>
    <row r="73" spans="1:29" x14ac:dyDescent="0.25">
      <c r="A73" s="695"/>
      <c r="B73" s="1037"/>
      <c r="C73" s="1037"/>
      <c r="D73" s="1037"/>
      <c r="E73" s="1037"/>
      <c r="F73" s="1037"/>
      <c r="G73" s="1037"/>
      <c r="H73" s="1037"/>
      <c r="I73" s="1037"/>
      <c r="J73" s="1037"/>
      <c r="K73" s="1037"/>
      <c r="L73" s="1037"/>
      <c r="M73" s="1037"/>
      <c r="N73" s="1037"/>
      <c r="O73" s="1037"/>
      <c r="P73" s="695"/>
      <c r="Q73" s="695"/>
      <c r="R73" s="695"/>
      <c r="S73" s="695"/>
      <c r="T73" s="695"/>
      <c r="U73" s="694"/>
      <c r="V73" s="694"/>
      <c r="W73" s="695"/>
    </row>
    <row r="74" spans="1:29" x14ac:dyDescent="0.25">
      <c r="A74" s="695"/>
      <c r="B74" s="1037"/>
      <c r="C74" s="1037"/>
      <c r="D74" s="694"/>
      <c r="E74" s="1037"/>
      <c r="F74" s="1037"/>
      <c r="G74" s="695"/>
      <c r="H74" s="695"/>
      <c r="I74" s="695"/>
      <c r="J74" s="695"/>
      <c r="K74" s="695"/>
      <c r="L74" s="1036"/>
      <c r="M74" s="694"/>
      <c r="N74" s="695"/>
      <c r="O74" s="695"/>
      <c r="P74" s="1038"/>
      <c r="Q74" s="1038"/>
      <c r="R74" s="1039"/>
      <c r="S74" s="1039"/>
      <c r="T74" s="1039"/>
      <c r="U74" s="1039"/>
      <c r="V74" s="694"/>
      <c r="W74" s="695"/>
    </row>
    <row r="75" spans="1:29" x14ac:dyDescent="0.25">
      <c r="A75" s="695"/>
      <c r="B75" s="695"/>
      <c r="C75" s="695"/>
      <c r="D75" s="694"/>
      <c r="E75" s="694"/>
      <c r="F75" s="1035"/>
      <c r="G75" s="1037"/>
      <c r="H75" s="1037"/>
      <c r="I75" s="1037"/>
      <c r="J75" s="1037"/>
      <c r="K75" s="1037"/>
      <c r="L75" s="1037"/>
      <c r="M75" s="1037"/>
      <c r="N75" s="1037"/>
      <c r="O75" s="1038"/>
      <c r="P75" s="695"/>
      <c r="Q75" s="695"/>
      <c r="R75" s="695"/>
      <c r="S75" s="695"/>
      <c r="T75" s="695"/>
      <c r="U75" s="694"/>
      <c r="V75" s="694"/>
      <c r="W75" s="695"/>
    </row>
    <row r="76" spans="1:29" x14ac:dyDescent="0.25">
      <c r="A76" s="695"/>
      <c r="B76" s="695"/>
      <c r="C76" s="695"/>
      <c r="D76" s="723"/>
      <c r="E76" s="694"/>
      <c r="F76" s="1035"/>
      <c r="G76" s="695"/>
      <c r="H76" s="695"/>
      <c r="I76" s="695"/>
      <c r="J76" s="695"/>
      <c r="K76" s="695"/>
      <c r="L76" s="1036"/>
      <c r="M76" s="694"/>
      <c r="N76" s="695"/>
      <c r="O76" s="695"/>
      <c r="P76" s="1037"/>
      <c r="Q76" s="1037"/>
      <c r="R76" s="695"/>
      <c r="S76" s="695"/>
      <c r="T76" s="695"/>
      <c r="U76" s="694"/>
      <c r="V76" s="694"/>
      <c r="W76" s="695"/>
    </row>
    <row r="77" spans="1:29" x14ac:dyDescent="0.25">
      <c r="A77" s="695"/>
      <c r="B77" s="723"/>
      <c r="C77" s="723"/>
      <c r="D77" s="694"/>
      <c r="E77" s="723"/>
      <c r="F77" s="723"/>
      <c r="G77" s="1037"/>
      <c r="H77" s="1037"/>
      <c r="I77" s="1037"/>
      <c r="J77" s="1037"/>
      <c r="K77" s="1037"/>
      <c r="L77" s="1037"/>
      <c r="M77" s="1037"/>
      <c r="N77" s="1037"/>
      <c r="O77" s="1040"/>
      <c r="P77" s="695"/>
      <c r="Q77" s="695"/>
      <c r="R77" s="695"/>
      <c r="S77" s="695"/>
      <c r="T77" s="695"/>
      <c r="U77" s="694"/>
      <c r="V77" s="694"/>
      <c r="W77" s="695"/>
    </row>
    <row r="78" spans="1:29" x14ac:dyDescent="0.25">
      <c r="A78" s="695"/>
      <c r="B78" s="695"/>
      <c r="C78" s="695"/>
      <c r="D78" s="694"/>
      <c r="E78" s="694"/>
      <c r="F78" s="1035"/>
      <c r="G78" s="695"/>
      <c r="H78" s="695"/>
      <c r="I78" s="695"/>
      <c r="J78" s="695"/>
      <c r="K78" s="695"/>
      <c r="L78" s="1036"/>
      <c r="M78" s="694"/>
      <c r="N78" s="695"/>
      <c r="O78" s="695"/>
      <c r="P78" s="695"/>
      <c r="Q78" s="695"/>
      <c r="R78" s="695"/>
      <c r="S78" s="695"/>
      <c r="T78" s="695"/>
      <c r="U78" s="694"/>
      <c r="V78" s="694"/>
      <c r="W78" s="695"/>
    </row>
    <row r="79" spans="1:29" x14ac:dyDescent="0.25">
      <c r="A79" s="695"/>
      <c r="B79" s="695"/>
      <c r="C79" s="695"/>
      <c r="D79" s="1041"/>
      <c r="E79" s="694"/>
      <c r="F79" s="1035"/>
      <c r="G79" s="695"/>
      <c r="H79" s="695"/>
      <c r="I79" s="695"/>
      <c r="J79" s="695"/>
      <c r="K79" s="695"/>
      <c r="L79" s="1036"/>
      <c r="M79" s="694"/>
      <c r="N79" s="695"/>
      <c r="O79" s="695"/>
      <c r="P79" s="1042"/>
      <c r="Q79" s="1042"/>
      <c r="R79" s="1042"/>
      <c r="S79" s="1042"/>
      <c r="T79" s="1042"/>
      <c r="U79" s="1042"/>
      <c r="V79" s="1042"/>
      <c r="W79" s="1042"/>
      <c r="X79" s="1042"/>
    </row>
    <row r="80" spans="1:29" x14ac:dyDescent="0.25">
      <c r="B80" s="1041"/>
      <c r="C80" s="1041"/>
      <c r="D80" s="1043"/>
      <c r="E80" s="1041"/>
      <c r="F80" s="1041"/>
      <c r="G80" s="1041"/>
      <c r="H80" s="1041"/>
      <c r="I80" s="1041"/>
      <c r="J80" s="1041"/>
      <c r="K80" s="1041"/>
      <c r="L80" s="1041"/>
      <c r="M80" s="1041"/>
      <c r="N80" s="1041"/>
      <c r="O80" s="1042"/>
      <c r="P80" s="1042"/>
      <c r="Q80" s="1042"/>
      <c r="R80" s="1042"/>
      <c r="S80" s="1042"/>
      <c r="T80" s="1042"/>
      <c r="U80" s="1042"/>
      <c r="V80" s="1042"/>
      <c r="W80" s="1042"/>
      <c r="X80" s="1042"/>
      <c r="Y80" s="1042"/>
      <c r="Z80" s="1042"/>
      <c r="AA80" s="1042"/>
      <c r="AB80" s="1042"/>
      <c r="AC80" s="1042"/>
    </row>
    <row r="81" spans="1:29" x14ac:dyDescent="0.25">
      <c r="B81" s="1043"/>
      <c r="C81" s="1043"/>
      <c r="D81" s="723"/>
      <c r="E81" s="1043"/>
      <c r="F81" s="1044"/>
      <c r="G81" s="1043"/>
      <c r="H81" s="1043"/>
      <c r="I81" s="1043"/>
      <c r="J81" s="1043"/>
      <c r="K81" s="1043"/>
      <c r="L81" s="1045"/>
      <c r="M81" s="1043"/>
      <c r="N81" s="1043"/>
      <c r="O81" s="1042"/>
      <c r="P81" s="1046"/>
      <c r="Q81" s="1046"/>
      <c r="R81" s="1046"/>
      <c r="S81" s="1046"/>
      <c r="T81" s="1046"/>
      <c r="U81" s="1046"/>
      <c r="V81" s="1046"/>
      <c r="W81" s="1047"/>
      <c r="Y81" s="1042"/>
      <c r="Z81" s="1042"/>
      <c r="AA81" s="1042"/>
      <c r="AB81" s="1042"/>
      <c r="AC81" s="1042"/>
    </row>
    <row r="82" spans="1:29" x14ac:dyDescent="0.25">
      <c r="B82" s="723"/>
      <c r="C82" s="723"/>
      <c r="D82" s="723"/>
      <c r="E82" s="723"/>
      <c r="F82" s="723"/>
      <c r="G82" s="723"/>
      <c r="H82" s="723"/>
      <c r="I82" s="723"/>
      <c r="J82" s="723"/>
      <c r="K82" s="1037"/>
      <c r="L82" s="1037"/>
      <c r="M82" s="1037"/>
      <c r="N82" s="1037"/>
      <c r="O82" s="1046"/>
      <c r="P82" s="694"/>
      <c r="Q82" s="694"/>
      <c r="R82" s="694"/>
      <c r="S82" s="694"/>
      <c r="T82" s="694"/>
      <c r="U82" s="694"/>
      <c r="V82" s="694"/>
      <c r="W82" s="695"/>
    </row>
    <row r="83" spans="1:29" x14ac:dyDescent="0.25">
      <c r="B83" s="723"/>
      <c r="C83" s="723"/>
      <c r="D83" s="694"/>
      <c r="E83" s="723"/>
      <c r="F83" s="723"/>
      <c r="G83" s="723"/>
      <c r="H83" s="723"/>
      <c r="I83" s="723"/>
      <c r="J83" s="723"/>
      <c r="K83" s="723"/>
      <c r="L83" s="694"/>
      <c r="M83" s="694"/>
      <c r="N83" s="694"/>
      <c r="O83" s="694"/>
      <c r="P83" s="695"/>
      <c r="Q83" s="695"/>
      <c r="R83" s="695"/>
      <c r="S83" s="695"/>
      <c r="T83" s="695"/>
      <c r="U83" s="694"/>
      <c r="V83" s="694"/>
      <c r="W83" s="695"/>
    </row>
    <row r="84" spans="1:29" x14ac:dyDescent="0.25">
      <c r="B84" s="695"/>
      <c r="C84" s="695"/>
      <c r="D84" s="723"/>
      <c r="E84" s="694"/>
      <c r="F84" s="1035"/>
      <c r="G84" s="695"/>
      <c r="H84" s="695"/>
      <c r="I84" s="695"/>
      <c r="J84" s="695"/>
      <c r="K84" s="695"/>
      <c r="L84" s="1036"/>
      <c r="M84" s="694"/>
      <c r="N84" s="695"/>
      <c r="O84" s="695"/>
      <c r="P84" s="1048"/>
      <c r="Q84" s="1048"/>
      <c r="R84" s="1048"/>
      <c r="S84" s="1048"/>
      <c r="T84" s="1048"/>
      <c r="U84" s="1048"/>
      <c r="V84" s="694"/>
      <c r="W84" s="695"/>
    </row>
    <row r="85" spans="1:29" x14ac:dyDescent="0.25">
      <c r="B85" s="723"/>
      <c r="C85" s="723"/>
      <c r="D85" s="694"/>
      <c r="E85" s="723"/>
      <c r="F85" s="723"/>
      <c r="G85" s="723"/>
      <c r="H85" s="694"/>
      <c r="I85" s="694"/>
      <c r="J85" s="694"/>
      <c r="K85" s="694"/>
      <c r="L85" s="694"/>
      <c r="M85" s="694"/>
      <c r="N85" s="694"/>
      <c r="O85" s="1048"/>
      <c r="P85" s="695"/>
      <c r="Q85" s="695"/>
      <c r="R85" s="695"/>
      <c r="S85" s="695"/>
      <c r="T85" s="695"/>
      <c r="U85" s="694"/>
      <c r="V85" s="694"/>
      <c r="W85" s="695"/>
    </row>
    <row r="86" spans="1:29" x14ac:dyDescent="0.25">
      <c r="B86" s="695"/>
      <c r="C86" s="695"/>
      <c r="D86" s="694"/>
      <c r="E86" s="694"/>
      <c r="F86" s="1035"/>
      <c r="G86" s="695"/>
      <c r="H86" s="695"/>
      <c r="I86" s="695"/>
      <c r="J86" s="695"/>
      <c r="K86" s="695"/>
      <c r="L86" s="1036"/>
      <c r="M86" s="694"/>
      <c r="N86" s="695"/>
      <c r="O86" s="695"/>
      <c r="P86" s="695"/>
      <c r="Q86" s="695"/>
      <c r="R86" s="695"/>
      <c r="S86" s="695"/>
      <c r="T86" s="695"/>
      <c r="U86" s="694"/>
      <c r="V86" s="694"/>
      <c r="W86" s="695"/>
    </row>
    <row r="87" spans="1:29" x14ac:dyDescent="0.25">
      <c r="B87" s="695"/>
      <c r="C87" s="695"/>
      <c r="D87" s="694"/>
      <c r="E87" s="694"/>
      <c r="F87" s="1035"/>
      <c r="G87" s="695"/>
      <c r="H87" s="695"/>
      <c r="I87" s="695"/>
      <c r="J87" s="695"/>
      <c r="K87" s="695"/>
      <c r="L87" s="1036"/>
      <c r="M87" s="694"/>
      <c r="N87" s="695"/>
      <c r="O87" s="695"/>
      <c r="P87" s="695"/>
      <c r="Q87" s="695"/>
      <c r="R87" s="695"/>
      <c r="S87" s="695"/>
      <c r="T87" s="695"/>
      <c r="U87" s="694"/>
      <c r="V87" s="694"/>
      <c r="W87" s="695"/>
    </row>
    <row r="88" spans="1:29" x14ac:dyDescent="0.25">
      <c r="B88" s="695"/>
      <c r="C88" s="695"/>
      <c r="D88" s="694"/>
      <c r="E88" s="694"/>
      <c r="F88" s="1035"/>
      <c r="G88" s="695"/>
      <c r="H88" s="695"/>
      <c r="I88" s="695"/>
      <c r="J88" s="695"/>
      <c r="K88" s="695"/>
      <c r="L88" s="1036"/>
      <c r="M88" s="694"/>
      <c r="N88" s="695"/>
      <c r="O88" s="695"/>
      <c r="P88" s="695"/>
      <c r="Q88" s="695"/>
      <c r="R88" s="695"/>
      <c r="S88" s="695"/>
      <c r="T88" s="695"/>
      <c r="U88" s="694"/>
      <c r="V88" s="694"/>
      <c r="W88" s="695"/>
    </row>
    <row r="89" spans="1:29" x14ac:dyDescent="0.25">
      <c r="B89" s="1049"/>
      <c r="C89" s="695"/>
      <c r="D89" s="1050"/>
      <c r="E89" s="694"/>
      <c r="F89" s="1035"/>
      <c r="G89" s="695"/>
      <c r="H89" s="695"/>
      <c r="I89" s="695"/>
      <c r="J89" s="695"/>
      <c r="K89" s="695"/>
      <c r="L89" s="1036"/>
      <c r="M89" s="694"/>
      <c r="N89" s="695"/>
      <c r="O89" s="695"/>
      <c r="P89" s="695"/>
      <c r="Q89" s="695"/>
      <c r="R89" s="695"/>
      <c r="S89" s="695"/>
      <c r="T89" s="695"/>
      <c r="U89" s="694"/>
      <c r="V89" s="694"/>
      <c r="W89" s="695"/>
    </row>
    <row r="90" spans="1:29" x14ac:dyDescent="0.25">
      <c r="B90" s="1050"/>
      <c r="C90" s="1050"/>
      <c r="D90" s="694"/>
      <c r="E90" s="1050"/>
      <c r="F90" s="1035"/>
      <c r="G90" s="695"/>
      <c r="H90" s="695"/>
      <c r="I90" s="695"/>
      <c r="J90" s="695"/>
      <c r="K90" s="695"/>
      <c r="L90" s="1036"/>
      <c r="M90" s="694"/>
      <c r="N90" s="695"/>
      <c r="O90" s="695"/>
      <c r="P90" s="695"/>
      <c r="Q90" s="695"/>
      <c r="R90" s="695"/>
      <c r="S90" s="695"/>
      <c r="T90" s="695"/>
      <c r="U90" s="694"/>
      <c r="V90" s="694"/>
      <c r="W90" s="695"/>
    </row>
    <row r="91" spans="1:29" x14ac:dyDescent="0.25">
      <c r="B91" s="1049"/>
      <c r="C91" s="695"/>
      <c r="D91" s="694"/>
      <c r="E91" s="694"/>
      <c r="F91" s="1035"/>
      <c r="G91" s="695"/>
      <c r="H91" s="695"/>
      <c r="I91" s="695"/>
      <c r="J91" s="695"/>
      <c r="K91" s="695"/>
      <c r="L91" s="1036"/>
      <c r="M91" s="694"/>
      <c r="N91" s="695"/>
      <c r="O91" s="695"/>
      <c r="P91" s="695"/>
      <c r="Q91" s="695"/>
      <c r="R91" s="695"/>
      <c r="S91" s="695"/>
      <c r="T91" s="695"/>
      <c r="U91" s="694"/>
      <c r="V91" s="694"/>
      <c r="W91" s="695"/>
    </row>
    <row r="92" spans="1:29" x14ac:dyDescent="0.25">
      <c r="B92" s="1049"/>
      <c r="C92" s="695"/>
      <c r="D92" s="694"/>
      <c r="E92" s="694"/>
      <c r="F92" s="1035"/>
      <c r="G92" s="695"/>
      <c r="H92" s="695"/>
      <c r="I92" s="695"/>
      <c r="J92" s="695"/>
      <c r="K92" s="695"/>
      <c r="L92" s="1036"/>
      <c r="M92" s="694"/>
      <c r="N92" s="695"/>
      <c r="O92" s="695"/>
      <c r="P92" s="695"/>
      <c r="Q92" s="695"/>
      <c r="R92" s="695"/>
      <c r="S92" s="695"/>
      <c r="T92" s="695"/>
      <c r="U92" s="694"/>
      <c r="V92" s="694"/>
      <c r="W92" s="695"/>
    </row>
    <row r="93" spans="1:29" x14ac:dyDescent="0.25">
      <c r="B93" s="1049"/>
      <c r="C93" s="695"/>
      <c r="D93" s="694"/>
      <c r="E93" s="694"/>
      <c r="F93" s="1035"/>
      <c r="G93" s="695"/>
      <c r="H93" s="695"/>
      <c r="I93" s="695"/>
      <c r="J93" s="695"/>
      <c r="K93" s="695"/>
      <c r="L93" s="1036"/>
      <c r="M93" s="694"/>
      <c r="N93" s="695"/>
      <c r="O93" s="695"/>
      <c r="P93" s="695"/>
      <c r="Q93" s="695"/>
      <c r="R93" s="695"/>
      <c r="S93" s="695"/>
      <c r="T93" s="695"/>
      <c r="U93" s="694"/>
      <c r="V93" s="694"/>
      <c r="W93" s="695"/>
    </row>
    <row r="94" spans="1:29" x14ac:dyDescent="0.25">
      <c r="A94" s="695"/>
      <c r="B94" s="1049"/>
      <c r="C94" s="695"/>
      <c r="D94" s="694"/>
      <c r="E94" s="694"/>
      <c r="F94" s="1035"/>
      <c r="G94" s="695"/>
      <c r="H94" s="695"/>
      <c r="I94" s="695"/>
      <c r="J94" s="695"/>
      <c r="K94" s="695"/>
      <c r="L94" s="1036"/>
      <c r="M94" s="694"/>
      <c r="N94" s="695"/>
      <c r="O94" s="695"/>
      <c r="P94" s="695"/>
      <c r="Q94" s="695"/>
      <c r="R94" s="695"/>
      <c r="S94" s="695"/>
      <c r="T94" s="695"/>
      <c r="U94" s="694"/>
      <c r="V94" s="694"/>
      <c r="W94" s="695"/>
    </row>
    <row r="95" spans="1:29" x14ac:dyDescent="0.25">
      <c r="A95" s="695"/>
      <c r="B95" s="1049"/>
      <c r="C95" s="695"/>
      <c r="D95" s="694"/>
      <c r="E95" s="694"/>
      <c r="F95" s="1035"/>
      <c r="G95" s="695"/>
      <c r="H95" s="695"/>
      <c r="I95" s="695"/>
      <c r="J95" s="695"/>
      <c r="K95" s="695"/>
      <c r="L95" s="1036"/>
      <c r="M95" s="694"/>
      <c r="N95" s="695"/>
      <c r="O95" s="695"/>
      <c r="P95" s="695"/>
      <c r="Q95" s="695"/>
      <c r="R95" s="695"/>
      <c r="S95" s="695"/>
      <c r="T95" s="695"/>
      <c r="U95" s="694"/>
      <c r="V95" s="694"/>
      <c r="W95" s="695"/>
    </row>
    <row r="96" spans="1:29" x14ac:dyDescent="0.25">
      <c r="A96" s="695"/>
      <c r="B96" s="1049"/>
      <c r="C96" s="695"/>
      <c r="D96" s="694"/>
      <c r="E96" s="694"/>
      <c r="F96" s="1035"/>
      <c r="G96" s="695"/>
      <c r="H96" s="695"/>
      <c r="I96" s="695"/>
      <c r="J96" s="695"/>
      <c r="K96" s="695"/>
      <c r="L96" s="1036"/>
      <c r="M96" s="694"/>
      <c r="N96" s="695"/>
      <c r="O96" s="695"/>
      <c r="P96" s="695"/>
      <c r="Q96" s="695"/>
      <c r="R96" s="695"/>
      <c r="S96" s="695"/>
      <c r="T96" s="695"/>
      <c r="U96" s="694"/>
      <c r="V96" s="694"/>
      <c r="W96" s="695"/>
    </row>
    <row r="97" spans="1:23" x14ac:dyDescent="0.25">
      <c r="A97" s="695"/>
      <c r="B97" s="1049"/>
      <c r="C97" s="695"/>
      <c r="D97" s="694"/>
      <c r="E97" s="694"/>
      <c r="F97" s="1035"/>
      <c r="G97" s="695"/>
      <c r="H97" s="695"/>
      <c r="I97" s="695"/>
      <c r="J97" s="695"/>
      <c r="K97" s="695"/>
      <c r="L97" s="1036"/>
      <c r="M97" s="694"/>
      <c r="N97" s="695"/>
      <c r="O97" s="695"/>
      <c r="P97" s="695"/>
      <c r="Q97" s="695"/>
      <c r="R97" s="695"/>
      <c r="S97" s="695"/>
      <c r="T97" s="695"/>
      <c r="U97" s="694"/>
      <c r="V97" s="694"/>
      <c r="W97" s="695"/>
    </row>
    <row r="98" spans="1:23" x14ac:dyDescent="0.25">
      <c r="A98" s="695"/>
      <c r="B98" s="1049"/>
      <c r="C98" s="695"/>
      <c r="D98" s="694"/>
      <c r="E98" s="694"/>
      <c r="F98" s="1035"/>
      <c r="G98" s="695"/>
      <c r="H98" s="695"/>
      <c r="I98" s="695"/>
      <c r="J98" s="695"/>
      <c r="K98" s="695"/>
      <c r="L98" s="1036"/>
      <c r="M98" s="694"/>
      <c r="N98" s="695"/>
      <c r="O98" s="695"/>
      <c r="P98" s="695"/>
      <c r="Q98" s="695"/>
      <c r="R98" s="695"/>
      <c r="S98" s="695"/>
      <c r="T98" s="695"/>
      <c r="U98" s="694"/>
      <c r="V98" s="694"/>
      <c r="W98" s="695"/>
    </row>
    <row r="99" spans="1:23" x14ac:dyDescent="0.25">
      <c r="A99" s="695"/>
      <c r="B99" s="1049"/>
      <c r="C99" s="695"/>
      <c r="D99" s="694"/>
      <c r="E99" s="694"/>
      <c r="F99" s="1035"/>
      <c r="G99" s="695"/>
      <c r="H99" s="695"/>
      <c r="I99" s="695"/>
      <c r="J99" s="695"/>
      <c r="K99" s="695"/>
      <c r="L99" s="1036"/>
      <c r="M99" s="694"/>
      <c r="N99" s="695"/>
      <c r="O99" s="695"/>
      <c r="P99" s="695"/>
      <c r="Q99" s="695"/>
      <c r="R99" s="695"/>
      <c r="S99" s="695"/>
      <c r="T99" s="695"/>
      <c r="U99" s="694"/>
      <c r="V99" s="694"/>
      <c r="W99" s="695"/>
    </row>
    <row r="100" spans="1:23" x14ac:dyDescent="0.25">
      <c r="A100" s="695"/>
      <c r="B100" s="1049"/>
      <c r="C100" s="695"/>
      <c r="D100" s="694"/>
      <c r="E100" s="694"/>
      <c r="F100" s="1035"/>
      <c r="G100" s="695"/>
      <c r="H100" s="695"/>
      <c r="I100" s="695"/>
      <c r="J100" s="695"/>
      <c r="K100" s="695"/>
      <c r="L100" s="1036"/>
      <c r="M100" s="694"/>
      <c r="N100" s="695"/>
      <c r="O100" s="695"/>
      <c r="P100" s="695"/>
      <c r="Q100" s="695"/>
      <c r="R100" s="695"/>
      <c r="S100" s="695"/>
      <c r="T100" s="695"/>
      <c r="U100" s="694"/>
      <c r="V100" s="694"/>
      <c r="W100" s="695"/>
    </row>
    <row r="101" spans="1:23" x14ac:dyDescent="0.25">
      <c r="A101" s="695"/>
      <c r="B101" s="1049"/>
      <c r="C101" s="695"/>
      <c r="D101" s="694"/>
      <c r="E101" s="694"/>
      <c r="F101" s="1035"/>
      <c r="G101" s="695"/>
      <c r="H101" s="695"/>
      <c r="I101" s="695"/>
      <c r="J101" s="695"/>
      <c r="K101" s="695"/>
      <c r="L101" s="1036"/>
      <c r="M101" s="694"/>
      <c r="N101" s="695"/>
      <c r="O101" s="695"/>
      <c r="P101" s="695"/>
      <c r="Q101" s="695"/>
      <c r="R101" s="695"/>
      <c r="S101" s="695"/>
      <c r="T101" s="695"/>
      <c r="U101" s="694"/>
      <c r="V101" s="694"/>
      <c r="W101" s="695"/>
    </row>
    <row r="102" spans="1:23" x14ac:dyDescent="0.25">
      <c r="A102" s="695"/>
      <c r="B102" s="1049"/>
      <c r="C102" s="695"/>
      <c r="D102" s="694"/>
      <c r="E102" s="694"/>
      <c r="F102" s="1035"/>
      <c r="G102" s="695"/>
      <c r="H102" s="695"/>
      <c r="I102" s="695"/>
      <c r="J102" s="695"/>
      <c r="K102" s="695"/>
      <c r="L102" s="1036"/>
      <c r="M102" s="694"/>
      <c r="N102" s="695"/>
      <c r="O102" s="695"/>
      <c r="P102" s="695"/>
      <c r="Q102" s="695"/>
      <c r="R102" s="695"/>
      <c r="S102" s="695"/>
      <c r="T102" s="695"/>
      <c r="U102" s="694"/>
      <c r="V102" s="694"/>
      <c r="W102" s="695"/>
    </row>
    <row r="103" spans="1:23" x14ac:dyDescent="0.25">
      <c r="A103" s="695"/>
      <c r="B103" s="1049"/>
      <c r="C103" s="695"/>
      <c r="D103" s="694"/>
      <c r="E103" s="694"/>
      <c r="F103" s="1035"/>
      <c r="G103" s="695"/>
      <c r="H103" s="695"/>
      <c r="I103" s="695"/>
      <c r="J103" s="695"/>
      <c r="K103" s="695"/>
      <c r="L103" s="1036"/>
      <c r="M103" s="694"/>
      <c r="N103" s="695"/>
      <c r="O103" s="695"/>
      <c r="P103" s="695"/>
      <c r="Q103" s="695"/>
      <c r="R103" s="695"/>
      <c r="S103" s="695"/>
      <c r="T103" s="695"/>
      <c r="U103" s="694"/>
      <c r="V103" s="694"/>
      <c r="W103" s="695"/>
    </row>
    <row r="104" spans="1:23" x14ac:dyDescent="0.25">
      <c r="A104" s="695"/>
      <c r="B104" s="695"/>
      <c r="C104" s="695"/>
      <c r="D104" s="694"/>
      <c r="E104" s="694"/>
      <c r="F104" s="1035"/>
      <c r="G104" s="695"/>
      <c r="H104" s="695"/>
      <c r="I104" s="695"/>
      <c r="J104" s="695"/>
      <c r="K104" s="695"/>
      <c r="L104" s="1036"/>
      <c r="M104" s="694"/>
      <c r="N104" s="695"/>
      <c r="O104" s="695"/>
      <c r="P104" s="695"/>
      <c r="Q104" s="695"/>
      <c r="R104" s="695"/>
      <c r="S104" s="695"/>
      <c r="T104" s="695"/>
      <c r="U104" s="694"/>
      <c r="V104" s="694"/>
      <c r="W104" s="695"/>
    </row>
    <row r="105" spans="1:23" x14ac:dyDescent="0.25">
      <c r="A105" s="695"/>
      <c r="C105" s="695"/>
      <c r="D105" s="694"/>
      <c r="E105" s="694"/>
      <c r="F105" s="1035"/>
      <c r="G105" s="695"/>
      <c r="H105" s="695"/>
      <c r="I105" s="695"/>
      <c r="J105" s="695"/>
      <c r="K105" s="695"/>
      <c r="L105" s="1036"/>
      <c r="M105" s="694"/>
      <c r="N105" s="695"/>
      <c r="O105" s="695"/>
      <c r="P105" s="695"/>
      <c r="Q105" s="695"/>
      <c r="R105" s="695"/>
      <c r="S105" s="695"/>
      <c r="T105" s="695"/>
      <c r="U105" s="694"/>
      <c r="V105" s="694"/>
      <c r="W105" s="695"/>
    </row>
    <row r="106" spans="1:23" x14ac:dyDescent="0.25">
      <c r="A106" s="695"/>
      <c r="C106" s="695"/>
      <c r="D106" s="694"/>
      <c r="E106" s="694"/>
      <c r="F106" s="1035"/>
      <c r="G106" s="695"/>
      <c r="H106" s="695"/>
      <c r="I106" s="695"/>
      <c r="J106" s="695"/>
      <c r="K106" s="695"/>
      <c r="L106" s="1036"/>
      <c r="M106" s="694"/>
      <c r="N106" s="695"/>
      <c r="O106" s="695"/>
      <c r="P106" s="695"/>
      <c r="Q106" s="695"/>
      <c r="R106" s="695"/>
      <c r="S106" s="695"/>
      <c r="T106" s="695"/>
      <c r="U106" s="694"/>
      <c r="V106" s="694"/>
      <c r="W106" s="695"/>
    </row>
    <row r="107" spans="1:23" x14ac:dyDescent="0.25">
      <c r="A107" s="695"/>
      <c r="C107" s="695"/>
      <c r="D107" s="694"/>
      <c r="E107" s="694"/>
      <c r="F107" s="1035"/>
      <c r="G107" s="695"/>
      <c r="H107" s="695"/>
      <c r="I107" s="695"/>
      <c r="J107" s="695"/>
      <c r="K107" s="695"/>
      <c r="L107" s="1036"/>
      <c r="M107" s="694"/>
      <c r="N107" s="695"/>
      <c r="O107" s="695"/>
      <c r="P107" s="695"/>
      <c r="Q107" s="695"/>
      <c r="R107" s="695"/>
      <c r="S107" s="695"/>
      <c r="T107" s="695"/>
      <c r="U107" s="694"/>
      <c r="V107" s="694"/>
      <c r="W107" s="695"/>
    </row>
    <row r="108" spans="1:23" x14ac:dyDescent="0.25">
      <c r="A108" s="695"/>
      <c r="C108" s="695"/>
      <c r="D108" s="694"/>
      <c r="E108" s="694"/>
      <c r="F108" s="1035"/>
      <c r="G108" s="695"/>
      <c r="H108" s="695"/>
      <c r="I108" s="695"/>
      <c r="J108" s="695"/>
      <c r="K108" s="695"/>
      <c r="L108" s="1036"/>
      <c r="M108" s="694"/>
      <c r="N108" s="695"/>
      <c r="O108" s="695"/>
      <c r="P108" s="695"/>
      <c r="Q108" s="695"/>
      <c r="R108" s="695"/>
      <c r="S108" s="695"/>
      <c r="T108" s="695"/>
      <c r="U108" s="694"/>
      <c r="V108" s="694"/>
      <c r="W108" s="695"/>
    </row>
    <row r="109" spans="1:23" x14ac:dyDescent="0.25">
      <c r="A109" s="695"/>
      <c r="C109" s="695"/>
      <c r="D109" s="694"/>
      <c r="E109" s="694"/>
      <c r="F109" s="1035"/>
      <c r="G109" s="695"/>
      <c r="H109" s="695"/>
      <c r="I109" s="695"/>
      <c r="J109" s="695"/>
      <c r="K109" s="695"/>
      <c r="L109" s="1036"/>
      <c r="M109" s="694"/>
      <c r="N109" s="695"/>
      <c r="O109" s="695"/>
      <c r="P109" s="695"/>
      <c r="Q109" s="695"/>
      <c r="R109" s="695"/>
      <c r="S109" s="695"/>
      <c r="T109" s="695"/>
      <c r="U109" s="694"/>
      <c r="V109" s="694"/>
      <c r="W109" s="695"/>
    </row>
    <row r="110" spans="1:23" x14ac:dyDescent="0.25">
      <c r="A110" s="695"/>
      <c r="C110" s="695"/>
      <c r="D110" s="694"/>
      <c r="E110" s="694"/>
      <c r="F110" s="1035"/>
      <c r="G110" s="695"/>
      <c r="H110" s="695"/>
      <c r="I110" s="695"/>
      <c r="J110" s="695"/>
      <c r="K110" s="695"/>
      <c r="L110" s="1036"/>
      <c r="M110" s="694"/>
      <c r="N110" s="695"/>
      <c r="O110" s="695"/>
      <c r="P110" s="695"/>
      <c r="Q110" s="695"/>
      <c r="R110" s="695"/>
      <c r="S110" s="695"/>
      <c r="T110" s="695"/>
      <c r="U110" s="694"/>
      <c r="V110" s="694"/>
      <c r="W110" s="695"/>
    </row>
    <row r="111" spans="1:23" x14ac:dyDescent="0.25">
      <c r="A111" s="695"/>
      <c r="C111" s="695"/>
      <c r="D111" s="694"/>
      <c r="E111" s="694"/>
      <c r="F111" s="1035"/>
      <c r="G111" s="695"/>
      <c r="H111" s="695"/>
      <c r="I111" s="695"/>
      <c r="J111" s="695"/>
      <c r="K111" s="695"/>
      <c r="L111" s="1036"/>
      <c r="M111" s="694"/>
      <c r="N111" s="695"/>
      <c r="O111" s="695"/>
      <c r="P111" s="695"/>
      <c r="Q111" s="695"/>
      <c r="R111" s="695"/>
      <c r="S111" s="695"/>
      <c r="T111" s="695"/>
      <c r="U111" s="694"/>
      <c r="V111" s="694"/>
      <c r="W111" s="695"/>
    </row>
    <row r="112" spans="1:23" x14ac:dyDescent="0.25">
      <c r="A112" s="695"/>
      <c r="C112" s="695"/>
      <c r="D112" s="694"/>
      <c r="E112" s="694"/>
      <c r="F112" s="1035"/>
      <c r="G112" s="695"/>
      <c r="H112" s="695"/>
      <c r="I112" s="695"/>
      <c r="J112" s="695"/>
      <c r="K112" s="695"/>
      <c r="L112" s="1036"/>
      <c r="M112" s="694"/>
      <c r="N112" s="695"/>
      <c r="O112" s="695"/>
      <c r="P112" s="695"/>
      <c r="Q112" s="695"/>
      <c r="R112" s="695"/>
      <c r="S112" s="695"/>
      <c r="T112" s="695"/>
      <c r="U112" s="694"/>
      <c r="V112" s="694"/>
      <c r="W112" s="695"/>
    </row>
    <row r="113" spans="1:23" x14ac:dyDescent="0.25">
      <c r="A113" s="695"/>
      <c r="C113" s="695"/>
      <c r="D113" s="694"/>
      <c r="E113" s="694"/>
      <c r="F113" s="1035"/>
      <c r="G113" s="695"/>
      <c r="H113" s="695"/>
      <c r="I113" s="695"/>
      <c r="J113" s="695"/>
      <c r="K113" s="695"/>
      <c r="L113" s="1036"/>
      <c r="M113" s="694"/>
      <c r="N113" s="695"/>
      <c r="O113" s="695"/>
      <c r="P113" s="695"/>
      <c r="Q113" s="695"/>
      <c r="R113" s="695"/>
      <c r="S113" s="695"/>
      <c r="T113" s="695"/>
      <c r="U113" s="694"/>
      <c r="V113" s="694"/>
      <c r="W113" s="695"/>
    </row>
    <row r="114" spans="1:23" x14ac:dyDescent="0.25">
      <c r="A114" s="695"/>
      <c r="C114" s="695"/>
      <c r="D114" s="694"/>
      <c r="E114" s="694"/>
      <c r="F114" s="1035"/>
      <c r="G114" s="695"/>
      <c r="H114" s="695"/>
      <c r="I114" s="695"/>
      <c r="J114" s="695"/>
      <c r="K114" s="695"/>
      <c r="L114" s="1036"/>
      <c r="M114" s="694"/>
      <c r="N114" s="695"/>
      <c r="O114" s="695"/>
      <c r="P114" s="695"/>
      <c r="Q114" s="695"/>
      <c r="R114" s="695"/>
      <c r="S114" s="695"/>
      <c r="T114" s="695"/>
      <c r="U114" s="694"/>
      <c r="V114" s="694"/>
      <c r="W114" s="695"/>
    </row>
    <row r="115" spans="1:23" x14ac:dyDescent="0.25">
      <c r="A115" s="695"/>
      <c r="C115" s="695"/>
      <c r="D115" s="694"/>
      <c r="E115" s="694"/>
      <c r="F115" s="1035"/>
      <c r="G115" s="695"/>
      <c r="H115" s="695"/>
      <c r="I115" s="695"/>
      <c r="J115" s="695"/>
      <c r="K115" s="695"/>
      <c r="L115" s="1036"/>
      <c r="M115" s="694"/>
      <c r="N115" s="695"/>
      <c r="O115" s="695"/>
      <c r="P115" s="695"/>
      <c r="Q115" s="695"/>
      <c r="R115" s="695"/>
      <c r="S115" s="695"/>
      <c r="T115" s="695"/>
      <c r="U115" s="694"/>
      <c r="V115" s="694"/>
      <c r="W115" s="695"/>
    </row>
    <row r="116" spans="1:23" x14ac:dyDescent="0.25">
      <c r="A116" s="695"/>
      <c r="C116" s="695"/>
      <c r="D116" s="694"/>
      <c r="E116" s="694"/>
      <c r="F116" s="1035"/>
      <c r="G116" s="695"/>
      <c r="H116" s="695"/>
      <c r="I116" s="695"/>
      <c r="J116" s="695"/>
      <c r="K116" s="695"/>
      <c r="L116" s="1036"/>
      <c r="M116" s="694"/>
      <c r="N116" s="695"/>
      <c r="O116" s="695"/>
      <c r="P116" s="695"/>
      <c r="Q116" s="695"/>
      <c r="R116" s="695"/>
      <c r="S116" s="695"/>
      <c r="T116" s="695"/>
      <c r="U116" s="694"/>
      <c r="V116" s="694"/>
      <c r="W116" s="695"/>
    </row>
    <row r="117" spans="1:23" x14ac:dyDescent="0.25">
      <c r="A117" s="695"/>
      <c r="C117" s="695"/>
      <c r="D117" s="694"/>
      <c r="E117" s="694"/>
      <c r="F117" s="1035"/>
      <c r="G117" s="695"/>
      <c r="H117" s="695"/>
      <c r="I117" s="695"/>
      <c r="J117" s="695"/>
      <c r="K117" s="695"/>
      <c r="L117" s="1036"/>
      <c r="M117" s="694"/>
      <c r="N117" s="695"/>
      <c r="O117" s="695"/>
      <c r="P117" s="695"/>
      <c r="Q117" s="695"/>
      <c r="R117" s="695"/>
      <c r="S117" s="695"/>
      <c r="T117" s="695"/>
      <c r="U117" s="694"/>
      <c r="V117" s="694"/>
      <c r="W117" s="695"/>
    </row>
    <row r="118" spans="1:23" x14ac:dyDescent="0.25">
      <c r="A118" s="695"/>
      <c r="C118" s="695"/>
      <c r="D118" s="694"/>
      <c r="E118" s="694"/>
      <c r="F118" s="1035"/>
      <c r="G118" s="695"/>
      <c r="H118" s="695"/>
      <c r="I118" s="695"/>
      <c r="J118" s="695"/>
      <c r="K118" s="695"/>
      <c r="L118" s="1036"/>
      <c r="M118" s="694"/>
      <c r="N118" s="695"/>
      <c r="O118" s="695"/>
      <c r="P118" s="695"/>
      <c r="Q118" s="695"/>
      <c r="R118" s="695"/>
      <c r="S118" s="695"/>
      <c r="T118" s="695"/>
      <c r="U118" s="694"/>
      <c r="V118" s="694"/>
      <c r="W118" s="695"/>
    </row>
    <row r="119" spans="1:23" x14ac:dyDescent="0.25">
      <c r="A119" s="695"/>
      <c r="C119" s="695"/>
      <c r="D119" s="694"/>
      <c r="E119" s="694"/>
      <c r="F119" s="1035"/>
      <c r="G119" s="695"/>
      <c r="H119" s="695"/>
      <c r="I119" s="695"/>
      <c r="J119" s="695"/>
      <c r="K119" s="695"/>
      <c r="L119" s="1036"/>
      <c r="M119" s="694"/>
      <c r="N119" s="695"/>
      <c r="O119" s="695"/>
      <c r="P119" s="695"/>
      <c r="Q119" s="695"/>
      <c r="R119" s="695"/>
      <c r="S119" s="695"/>
      <c r="T119" s="695"/>
      <c r="U119" s="694"/>
      <c r="V119" s="694"/>
      <c r="W119" s="695"/>
    </row>
    <row r="120" spans="1:23" x14ac:dyDescent="0.25">
      <c r="A120" s="695"/>
      <c r="C120" s="695"/>
      <c r="D120" s="694"/>
      <c r="E120" s="694"/>
      <c r="F120" s="1035"/>
      <c r="G120" s="695"/>
      <c r="H120" s="695"/>
      <c r="I120" s="695"/>
      <c r="J120" s="695"/>
      <c r="K120" s="695"/>
      <c r="L120" s="1036"/>
      <c r="M120" s="694"/>
      <c r="N120" s="695"/>
      <c r="O120" s="695"/>
      <c r="P120" s="695"/>
      <c r="Q120" s="695"/>
      <c r="R120" s="695"/>
      <c r="S120" s="695"/>
      <c r="T120" s="695"/>
      <c r="U120" s="694"/>
      <c r="V120" s="694"/>
      <c r="W120" s="695"/>
    </row>
    <row r="121" spans="1:23" x14ac:dyDescent="0.25">
      <c r="A121" s="695"/>
      <c r="C121" s="695"/>
      <c r="D121" s="694"/>
      <c r="E121" s="694"/>
      <c r="F121" s="1035"/>
      <c r="G121" s="695"/>
      <c r="H121" s="695"/>
      <c r="I121" s="695"/>
      <c r="J121" s="695"/>
      <c r="K121" s="695"/>
      <c r="L121" s="1036"/>
      <c r="M121" s="694"/>
      <c r="N121" s="695"/>
      <c r="O121" s="695"/>
      <c r="P121" s="695"/>
      <c r="Q121" s="695"/>
      <c r="R121" s="695"/>
      <c r="S121" s="695"/>
      <c r="T121" s="695"/>
      <c r="U121" s="694"/>
      <c r="V121" s="694"/>
      <c r="W121" s="695"/>
    </row>
    <row r="122" spans="1:23" x14ac:dyDescent="0.25">
      <c r="A122" s="695"/>
      <c r="C122" s="695"/>
      <c r="D122" s="694"/>
      <c r="E122" s="694"/>
      <c r="F122" s="1035"/>
      <c r="G122" s="695"/>
      <c r="H122" s="695"/>
      <c r="I122" s="695"/>
      <c r="J122" s="695"/>
      <c r="K122" s="695"/>
      <c r="L122" s="1036"/>
      <c r="M122" s="694"/>
      <c r="N122" s="695"/>
      <c r="O122" s="695"/>
      <c r="P122" s="695"/>
      <c r="Q122" s="695"/>
      <c r="R122" s="695"/>
      <c r="S122" s="695"/>
      <c r="T122" s="695"/>
      <c r="U122" s="694"/>
      <c r="V122" s="694"/>
      <c r="W122" s="695"/>
    </row>
    <row r="123" spans="1:23" x14ac:dyDescent="0.25">
      <c r="A123" s="695"/>
      <c r="C123" s="695"/>
      <c r="D123" s="694"/>
      <c r="E123" s="694"/>
      <c r="F123" s="1035"/>
      <c r="G123" s="695"/>
      <c r="H123" s="695"/>
      <c r="I123" s="695"/>
      <c r="J123" s="695"/>
      <c r="K123" s="695"/>
      <c r="L123" s="1036"/>
      <c r="M123" s="694"/>
      <c r="N123" s="695"/>
      <c r="O123" s="695"/>
      <c r="P123" s="695"/>
      <c r="Q123" s="695"/>
      <c r="R123" s="695"/>
      <c r="S123" s="695"/>
      <c r="T123" s="695"/>
      <c r="U123" s="694"/>
      <c r="V123" s="694"/>
      <c r="W123" s="695"/>
    </row>
    <row r="124" spans="1:23" x14ac:dyDescent="0.25">
      <c r="A124" s="695"/>
      <c r="C124" s="695"/>
      <c r="D124" s="694"/>
      <c r="E124" s="694"/>
      <c r="F124" s="1035"/>
      <c r="G124" s="695"/>
      <c r="H124" s="695"/>
      <c r="I124" s="695"/>
      <c r="J124" s="695"/>
      <c r="K124" s="695"/>
      <c r="L124" s="1036"/>
      <c r="M124" s="694"/>
      <c r="N124" s="695"/>
      <c r="O124" s="695"/>
      <c r="P124" s="695"/>
      <c r="Q124" s="695"/>
      <c r="R124" s="695"/>
      <c r="S124" s="695"/>
      <c r="T124" s="695"/>
      <c r="U124" s="694"/>
      <c r="V124" s="694"/>
      <c r="W124" s="695"/>
    </row>
    <row r="125" spans="1:23" x14ac:dyDescent="0.25">
      <c r="A125" s="695"/>
      <c r="C125" s="695"/>
      <c r="D125" s="694"/>
      <c r="E125" s="694"/>
      <c r="F125" s="1035"/>
      <c r="G125" s="695"/>
      <c r="H125" s="695"/>
      <c r="I125" s="695"/>
      <c r="J125" s="695"/>
      <c r="K125" s="695"/>
      <c r="L125" s="1036"/>
      <c r="M125" s="694"/>
      <c r="N125" s="695"/>
      <c r="O125" s="695"/>
      <c r="P125" s="695"/>
      <c r="Q125" s="695"/>
      <c r="R125" s="695"/>
      <c r="S125" s="695"/>
      <c r="T125" s="695"/>
      <c r="U125" s="694"/>
      <c r="V125" s="694"/>
      <c r="W125" s="695"/>
    </row>
    <row r="126" spans="1:23" x14ac:dyDescent="0.25">
      <c r="A126" s="695"/>
      <c r="C126" s="695"/>
      <c r="D126" s="694"/>
      <c r="E126" s="694"/>
      <c r="F126" s="1035"/>
      <c r="G126" s="695"/>
      <c r="H126" s="695"/>
      <c r="I126" s="695"/>
      <c r="J126" s="695"/>
      <c r="K126" s="695"/>
      <c r="L126" s="1036"/>
      <c r="M126" s="694"/>
      <c r="N126" s="695"/>
      <c r="O126" s="695"/>
      <c r="P126" s="695"/>
      <c r="Q126" s="695"/>
      <c r="R126" s="695"/>
      <c r="S126" s="695"/>
      <c r="T126" s="695"/>
      <c r="U126" s="694"/>
      <c r="V126" s="694"/>
      <c r="W126" s="695"/>
    </row>
    <row r="127" spans="1:23" x14ac:dyDescent="0.25">
      <c r="A127" s="695"/>
      <c r="C127" s="695"/>
      <c r="D127" s="694"/>
      <c r="E127" s="694"/>
      <c r="F127" s="1035"/>
      <c r="G127" s="695"/>
      <c r="H127" s="695"/>
      <c r="I127" s="695"/>
      <c r="J127" s="695"/>
      <c r="K127" s="695"/>
      <c r="L127" s="1036"/>
      <c r="M127" s="694"/>
      <c r="N127" s="695"/>
      <c r="O127" s="695"/>
      <c r="P127" s="695"/>
      <c r="Q127" s="695"/>
      <c r="R127" s="695"/>
      <c r="S127" s="695"/>
      <c r="T127" s="695"/>
      <c r="U127" s="694"/>
      <c r="V127" s="694"/>
      <c r="W127" s="695"/>
    </row>
    <row r="128" spans="1:23" x14ac:dyDescent="0.25">
      <c r="A128" s="695"/>
      <c r="C128" s="695"/>
      <c r="D128" s="694"/>
      <c r="E128" s="694"/>
      <c r="F128" s="1035"/>
      <c r="G128" s="695"/>
      <c r="H128" s="695"/>
      <c r="I128" s="695"/>
      <c r="J128" s="695"/>
      <c r="K128" s="695"/>
      <c r="L128" s="1036"/>
      <c r="M128" s="694"/>
      <c r="N128" s="695"/>
      <c r="O128" s="695"/>
      <c r="P128" s="695"/>
      <c r="Q128" s="695"/>
      <c r="R128" s="695"/>
      <c r="S128" s="695"/>
      <c r="T128" s="695"/>
      <c r="U128" s="694"/>
      <c r="V128" s="694"/>
      <c r="W128" s="695"/>
    </row>
    <row r="129" spans="1:23" x14ac:dyDescent="0.25">
      <c r="A129" s="695"/>
      <c r="C129" s="695"/>
      <c r="D129" s="694"/>
      <c r="E129" s="694"/>
      <c r="F129" s="1035"/>
      <c r="G129" s="695"/>
      <c r="H129" s="695"/>
      <c r="I129" s="695"/>
      <c r="J129" s="695"/>
      <c r="K129" s="695"/>
      <c r="L129" s="1036"/>
      <c r="M129" s="694"/>
      <c r="N129" s="695"/>
      <c r="O129" s="695"/>
      <c r="P129" s="695"/>
      <c r="Q129" s="695"/>
      <c r="R129" s="695"/>
      <c r="S129" s="695"/>
      <c r="T129" s="695"/>
      <c r="U129" s="694"/>
      <c r="V129" s="694"/>
      <c r="W129" s="695"/>
    </row>
    <row r="130" spans="1:23" x14ac:dyDescent="0.25">
      <c r="A130" s="695"/>
      <c r="C130" s="695"/>
      <c r="D130" s="694"/>
      <c r="E130" s="694"/>
      <c r="F130" s="1035"/>
      <c r="G130" s="695"/>
      <c r="H130" s="695"/>
      <c r="I130" s="695"/>
      <c r="J130" s="695"/>
      <c r="K130" s="695"/>
      <c r="L130" s="1036"/>
      <c r="M130" s="694"/>
      <c r="N130" s="695"/>
      <c r="O130" s="695"/>
      <c r="P130" s="695"/>
      <c r="Q130" s="695"/>
      <c r="R130" s="695"/>
      <c r="S130" s="695"/>
      <c r="T130" s="695"/>
      <c r="U130" s="694"/>
      <c r="V130" s="694"/>
      <c r="W130" s="695"/>
    </row>
    <row r="131" spans="1:23" x14ac:dyDescent="0.25">
      <c r="A131" s="695"/>
      <c r="C131" s="695"/>
      <c r="D131" s="694"/>
      <c r="E131" s="694"/>
      <c r="F131" s="1035"/>
      <c r="G131" s="695"/>
      <c r="H131" s="695"/>
      <c r="I131" s="695"/>
      <c r="J131" s="695"/>
      <c r="K131" s="695"/>
      <c r="L131" s="1036"/>
      <c r="M131" s="694"/>
      <c r="N131" s="695"/>
      <c r="O131" s="695"/>
      <c r="P131" s="695"/>
      <c r="Q131" s="695"/>
      <c r="R131" s="695"/>
      <c r="S131" s="695"/>
      <c r="T131" s="695"/>
      <c r="U131" s="694"/>
      <c r="V131" s="694"/>
      <c r="W131" s="695"/>
    </row>
    <row r="132" spans="1:23" x14ac:dyDescent="0.25">
      <c r="A132" s="695"/>
      <c r="C132" s="695"/>
      <c r="D132" s="694"/>
      <c r="E132" s="694"/>
      <c r="F132" s="1035"/>
      <c r="G132" s="695"/>
      <c r="H132" s="695"/>
      <c r="I132" s="695"/>
      <c r="J132" s="695"/>
      <c r="K132" s="695"/>
      <c r="L132" s="1036"/>
      <c r="M132" s="694"/>
      <c r="N132" s="695"/>
      <c r="O132" s="695"/>
      <c r="P132" s="695"/>
      <c r="Q132" s="695"/>
      <c r="R132" s="695"/>
      <c r="S132" s="695"/>
      <c r="T132" s="695"/>
      <c r="U132" s="694"/>
      <c r="V132" s="694"/>
      <c r="W132" s="695"/>
    </row>
    <row r="133" spans="1:23" x14ac:dyDescent="0.25">
      <c r="A133" s="695"/>
      <c r="C133" s="695"/>
      <c r="D133" s="694"/>
      <c r="E133" s="694"/>
      <c r="F133" s="1035"/>
      <c r="G133" s="695"/>
      <c r="H133" s="695"/>
      <c r="I133" s="695"/>
      <c r="J133" s="695"/>
      <c r="K133" s="695"/>
      <c r="L133" s="1036"/>
      <c r="M133" s="694"/>
      <c r="N133" s="695"/>
      <c r="O133" s="695"/>
      <c r="P133" s="695"/>
      <c r="Q133" s="695"/>
      <c r="R133" s="695"/>
      <c r="S133" s="695"/>
      <c r="T133" s="695"/>
      <c r="U133" s="694"/>
      <c r="V133" s="694"/>
      <c r="W133" s="695"/>
    </row>
    <row r="134" spans="1:23" x14ac:dyDescent="0.25">
      <c r="A134" s="695"/>
      <c r="C134" s="695"/>
      <c r="D134" s="694"/>
      <c r="E134" s="694"/>
      <c r="F134" s="1035"/>
      <c r="G134" s="695"/>
      <c r="H134" s="695"/>
      <c r="I134" s="695"/>
      <c r="J134" s="695"/>
      <c r="K134" s="695"/>
      <c r="L134" s="1036"/>
      <c r="M134" s="694"/>
      <c r="N134" s="695"/>
      <c r="O134" s="695"/>
      <c r="P134" s="695"/>
      <c r="Q134" s="695"/>
      <c r="R134" s="695"/>
      <c r="S134" s="695"/>
      <c r="T134" s="695"/>
      <c r="U134" s="694"/>
      <c r="V134" s="694"/>
      <c r="W134" s="695"/>
    </row>
    <row r="135" spans="1:23" x14ac:dyDescent="0.25">
      <c r="A135" s="695"/>
      <c r="C135" s="695"/>
      <c r="D135" s="694"/>
      <c r="E135" s="694"/>
      <c r="F135" s="1035"/>
      <c r="G135" s="695"/>
      <c r="H135" s="695"/>
      <c r="I135" s="695"/>
      <c r="J135" s="695"/>
      <c r="K135" s="695"/>
      <c r="L135" s="1036"/>
      <c r="M135" s="694"/>
      <c r="N135" s="695"/>
      <c r="O135" s="695"/>
      <c r="P135" s="695"/>
      <c r="Q135" s="695"/>
      <c r="R135" s="695"/>
      <c r="S135" s="695"/>
      <c r="T135" s="695"/>
      <c r="U135" s="694"/>
      <c r="V135" s="694"/>
      <c r="W135" s="695"/>
    </row>
    <row r="136" spans="1:23" x14ac:dyDescent="0.25">
      <c r="A136" s="695"/>
      <c r="C136" s="695"/>
      <c r="D136" s="694"/>
      <c r="E136" s="694"/>
      <c r="F136" s="1035"/>
      <c r="G136" s="695"/>
      <c r="H136" s="695"/>
      <c r="I136" s="695"/>
      <c r="J136" s="695"/>
      <c r="K136" s="695"/>
      <c r="L136" s="1036"/>
      <c r="M136" s="694"/>
      <c r="N136" s="695"/>
      <c r="O136" s="695"/>
      <c r="P136" s="695"/>
      <c r="Q136" s="695"/>
      <c r="R136" s="695"/>
      <c r="S136" s="695"/>
      <c r="T136" s="695"/>
      <c r="U136" s="694"/>
      <c r="V136" s="694"/>
      <c r="W136" s="695"/>
    </row>
    <row r="137" spans="1:23" x14ac:dyDescent="0.25">
      <c r="A137" s="695"/>
      <c r="C137" s="695"/>
      <c r="D137" s="694"/>
      <c r="E137" s="694"/>
      <c r="F137" s="1035"/>
      <c r="G137" s="695"/>
      <c r="H137" s="695"/>
      <c r="I137" s="695"/>
      <c r="J137" s="695"/>
      <c r="K137" s="695"/>
      <c r="L137" s="1036"/>
      <c r="M137" s="694"/>
      <c r="N137" s="695"/>
      <c r="O137" s="695"/>
      <c r="P137" s="695"/>
      <c r="Q137" s="695"/>
      <c r="R137" s="695"/>
      <c r="S137" s="695"/>
      <c r="T137" s="695"/>
      <c r="U137" s="694"/>
      <c r="V137" s="694"/>
      <c r="W137" s="695"/>
    </row>
    <row r="138" spans="1:23" x14ac:dyDescent="0.25">
      <c r="A138" s="695"/>
      <c r="C138" s="695"/>
      <c r="D138" s="694"/>
      <c r="E138" s="694"/>
      <c r="F138" s="1035"/>
      <c r="G138" s="695"/>
      <c r="H138" s="695"/>
      <c r="I138" s="695"/>
      <c r="J138" s="695"/>
      <c r="K138" s="695"/>
      <c r="L138" s="1036"/>
      <c r="M138" s="694"/>
      <c r="N138" s="695"/>
      <c r="O138" s="695"/>
      <c r="P138" s="695"/>
      <c r="Q138" s="695"/>
      <c r="R138" s="695"/>
      <c r="S138" s="695"/>
      <c r="T138" s="695"/>
      <c r="U138" s="694"/>
      <c r="V138" s="694"/>
      <c r="W138" s="695"/>
    </row>
    <row r="139" spans="1:23" x14ac:dyDescent="0.25">
      <c r="A139" s="695"/>
      <c r="C139" s="695"/>
      <c r="D139" s="694"/>
      <c r="E139" s="694"/>
      <c r="F139" s="1035"/>
      <c r="G139" s="695"/>
      <c r="H139" s="695"/>
      <c r="I139" s="695"/>
      <c r="J139" s="695"/>
      <c r="K139" s="695"/>
      <c r="L139" s="1036"/>
      <c r="M139" s="694"/>
      <c r="N139" s="695"/>
      <c r="O139" s="695"/>
      <c r="P139" s="695"/>
      <c r="Q139" s="695"/>
      <c r="R139" s="695"/>
      <c r="S139" s="695"/>
      <c r="T139" s="695"/>
      <c r="U139" s="694"/>
      <c r="V139" s="694"/>
      <c r="W139" s="695"/>
    </row>
    <row r="140" spans="1:23" x14ac:dyDescent="0.25">
      <c r="A140" s="695"/>
      <c r="C140" s="695"/>
      <c r="D140" s="694"/>
      <c r="E140" s="694"/>
      <c r="F140" s="1035"/>
      <c r="G140" s="695"/>
      <c r="H140" s="695"/>
      <c r="I140" s="695"/>
      <c r="J140" s="695"/>
      <c r="K140" s="695"/>
      <c r="L140" s="1036"/>
      <c r="M140" s="694"/>
      <c r="N140" s="695"/>
      <c r="O140" s="695"/>
      <c r="P140" s="695"/>
      <c r="Q140" s="695"/>
      <c r="R140" s="695"/>
      <c r="S140" s="695"/>
      <c r="T140" s="695"/>
      <c r="U140" s="694"/>
      <c r="V140" s="694"/>
      <c r="W140" s="695"/>
    </row>
    <row r="141" spans="1:23" x14ac:dyDescent="0.25">
      <c r="A141" s="695"/>
      <c r="C141" s="695"/>
      <c r="D141" s="694"/>
      <c r="E141" s="694"/>
      <c r="F141" s="1035"/>
      <c r="G141" s="695"/>
      <c r="H141" s="695"/>
      <c r="I141" s="695"/>
      <c r="J141" s="695"/>
      <c r="K141" s="695"/>
      <c r="L141" s="1036"/>
      <c r="M141" s="694"/>
      <c r="N141" s="695"/>
      <c r="O141" s="695"/>
      <c r="P141" s="695"/>
      <c r="Q141" s="695"/>
      <c r="R141" s="695"/>
      <c r="S141" s="695"/>
      <c r="T141" s="695"/>
      <c r="U141" s="694"/>
      <c r="V141" s="694"/>
      <c r="W141" s="695"/>
    </row>
    <row r="142" spans="1:23" x14ac:dyDescent="0.25">
      <c r="C142" s="695"/>
      <c r="D142" s="694"/>
      <c r="E142" s="694"/>
      <c r="F142" s="1035"/>
      <c r="G142" s="695"/>
      <c r="H142" s="695"/>
      <c r="I142" s="695"/>
      <c r="J142" s="695"/>
      <c r="K142" s="695"/>
      <c r="L142" s="1036"/>
      <c r="M142" s="694"/>
      <c r="N142" s="695"/>
      <c r="O142" s="695"/>
      <c r="P142" s="695"/>
      <c r="Q142" s="695"/>
      <c r="R142" s="695"/>
      <c r="S142" s="695"/>
      <c r="T142" s="695"/>
      <c r="U142" s="694"/>
      <c r="V142" s="694"/>
      <c r="W142" s="695"/>
    </row>
    <row r="143" spans="1:23" x14ac:dyDescent="0.25">
      <c r="C143" s="695"/>
      <c r="D143" s="694"/>
      <c r="E143" s="694"/>
      <c r="F143" s="1035"/>
      <c r="G143" s="695"/>
      <c r="H143" s="695"/>
      <c r="I143" s="695"/>
      <c r="J143" s="695"/>
      <c r="K143" s="695"/>
      <c r="L143" s="1036"/>
      <c r="M143" s="694"/>
      <c r="N143" s="695"/>
      <c r="O143" s="695"/>
      <c r="P143" s="695"/>
      <c r="Q143" s="695"/>
      <c r="R143" s="695"/>
      <c r="S143" s="695"/>
      <c r="T143" s="695"/>
      <c r="U143" s="694"/>
      <c r="V143" s="694"/>
      <c r="W143" s="695"/>
    </row>
    <row r="144" spans="1:23" x14ac:dyDescent="0.25">
      <c r="C144" s="695"/>
      <c r="D144" s="694"/>
      <c r="E144" s="694"/>
      <c r="F144" s="1035"/>
      <c r="G144" s="695"/>
      <c r="H144" s="695"/>
      <c r="I144" s="695"/>
      <c r="J144" s="695"/>
      <c r="K144" s="695"/>
      <c r="L144" s="1036"/>
      <c r="M144" s="694"/>
      <c r="N144" s="695"/>
      <c r="O144" s="695"/>
      <c r="P144" s="695"/>
      <c r="Q144" s="695"/>
      <c r="R144" s="695"/>
      <c r="S144" s="695"/>
      <c r="T144" s="695"/>
      <c r="U144" s="694"/>
      <c r="V144" s="694"/>
      <c r="W144" s="695"/>
    </row>
    <row r="145" spans="3:23" x14ac:dyDescent="0.25">
      <c r="C145" s="695"/>
      <c r="D145" s="694"/>
      <c r="E145" s="694"/>
      <c r="F145" s="1035"/>
      <c r="G145" s="695"/>
      <c r="H145" s="695"/>
      <c r="I145" s="695"/>
      <c r="J145" s="695"/>
      <c r="K145" s="695"/>
      <c r="L145" s="1036"/>
      <c r="M145" s="694"/>
      <c r="N145" s="695"/>
      <c r="O145" s="695"/>
      <c r="P145" s="695"/>
      <c r="Q145" s="695"/>
      <c r="R145" s="695"/>
      <c r="S145" s="695"/>
      <c r="T145" s="695"/>
      <c r="U145" s="694"/>
      <c r="V145" s="694"/>
      <c r="W145" s="695"/>
    </row>
    <row r="146" spans="3:23" x14ac:dyDescent="0.25">
      <c r="C146" s="695"/>
      <c r="D146" s="694"/>
      <c r="E146" s="694"/>
      <c r="F146" s="1035"/>
      <c r="G146" s="695"/>
      <c r="H146" s="695"/>
      <c r="I146" s="695"/>
      <c r="J146" s="695"/>
      <c r="K146" s="695"/>
      <c r="L146" s="1036"/>
      <c r="M146" s="694"/>
      <c r="N146" s="695"/>
      <c r="O146" s="695"/>
      <c r="P146" s="695"/>
      <c r="Q146" s="695"/>
      <c r="R146" s="695"/>
      <c r="S146" s="695"/>
      <c r="T146" s="695"/>
      <c r="U146" s="694"/>
      <c r="V146" s="694"/>
      <c r="W146" s="695"/>
    </row>
    <row r="147" spans="3:23" x14ac:dyDescent="0.25">
      <c r="C147" s="695"/>
      <c r="D147" s="694"/>
      <c r="E147" s="694"/>
      <c r="F147" s="1035"/>
      <c r="G147" s="695"/>
      <c r="H147" s="695"/>
      <c r="I147" s="695"/>
      <c r="J147" s="695"/>
      <c r="K147" s="695"/>
      <c r="L147" s="1036"/>
      <c r="M147" s="694"/>
      <c r="N147" s="695"/>
      <c r="O147" s="695"/>
      <c r="P147" s="695"/>
      <c r="Q147" s="695"/>
      <c r="R147" s="695"/>
      <c r="S147" s="695"/>
      <c r="T147" s="695"/>
      <c r="U147" s="694"/>
      <c r="V147" s="694"/>
      <c r="W147" s="695"/>
    </row>
    <row r="148" spans="3:23" x14ac:dyDescent="0.25">
      <c r="C148" s="695"/>
      <c r="D148" s="694"/>
      <c r="E148" s="694"/>
      <c r="F148" s="1035"/>
      <c r="G148" s="695"/>
      <c r="H148" s="695"/>
      <c r="I148" s="695"/>
      <c r="J148" s="695"/>
      <c r="K148" s="695"/>
      <c r="L148" s="1036"/>
      <c r="M148" s="694"/>
      <c r="N148" s="695"/>
      <c r="O148" s="695"/>
      <c r="P148" s="695"/>
      <c r="Q148" s="695"/>
      <c r="R148" s="695"/>
      <c r="S148" s="695"/>
      <c r="T148" s="695"/>
      <c r="U148" s="694"/>
      <c r="V148" s="694"/>
      <c r="W148" s="695"/>
    </row>
    <row r="149" spans="3:23" x14ac:dyDescent="0.25">
      <c r="C149" s="695"/>
      <c r="D149" s="694"/>
      <c r="E149" s="694"/>
      <c r="F149" s="1035"/>
      <c r="G149" s="695"/>
      <c r="H149" s="695"/>
      <c r="I149" s="695"/>
      <c r="J149" s="695"/>
      <c r="K149" s="695"/>
      <c r="L149" s="1036"/>
      <c r="M149" s="694"/>
      <c r="N149" s="695"/>
      <c r="O149" s="695"/>
      <c r="P149" s="695"/>
      <c r="Q149" s="695"/>
      <c r="R149" s="695"/>
      <c r="S149" s="695"/>
      <c r="T149" s="695"/>
      <c r="U149" s="694"/>
      <c r="V149" s="694"/>
      <c r="W149" s="695"/>
    </row>
    <row r="150" spans="3:23" x14ac:dyDescent="0.25">
      <c r="C150" s="695"/>
      <c r="D150" s="694"/>
      <c r="E150" s="694"/>
      <c r="F150" s="1035"/>
      <c r="G150" s="695"/>
      <c r="H150" s="695"/>
      <c r="I150" s="695"/>
      <c r="J150" s="695"/>
      <c r="K150" s="695"/>
      <c r="L150" s="1036"/>
      <c r="M150" s="694"/>
      <c r="N150" s="695"/>
      <c r="O150" s="695"/>
      <c r="P150" s="695"/>
      <c r="Q150" s="695"/>
      <c r="R150" s="695"/>
      <c r="S150" s="695"/>
      <c r="T150" s="695"/>
      <c r="U150" s="694"/>
      <c r="V150" s="694"/>
      <c r="W150" s="695"/>
    </row>
    <row r="151" spans="3:23" x14ac:dyDescent="0.25">
      <c r="C151" s="695"/>
      <c r="D151" s="694"/>
      <c r="E151" s="694"/>
      <c r="F151" s="1035"/>
      <c r="G151" s="695"/>
      <c r="H151" s="695"/>
      <c r="I151" s="695"/>
      <c r="J151" s="695"/>
      <c r="K151" s="695"/>
      <c r="L151" s="1036"/>
      <c r="M151" s="694"/>
      <c r="N151" s="695"/>
      <c r="O151" s="695"/>
      <c r="P151" s="695"/>
      <c r="Q151" s="695"/>
      <c r="R151" s="695"/>
      <c r="S151" s="695"/>
      <c r="T151" s="695"/>
      <c r="U151" s="694"/>
      <c r="V151" s="694"/>
      <c r="W151" s="695"/>
    </row>
    <row r="152" spans="3:23" x14ac:dyDescent="0.25">
      <c r="C152" s="695"/>
      <c r="D152" s="694"/>
      <c r="E152" s="694"/>
      <c r="F152" s="1035"/>
      <c r="G152" s="695"/>
      <c r="H152" s="695"/>
      <c r="I152" s="695"/>
      <c r="J152" s="695"/>
      <c r="K152" s="695"/>
      <c r="L152" s="1036"/>
      <c r="M152" s="694"/>
      <c r="N152" s="695"/>
      <c r="O152" s="695"/>
      <c r="P152" s="695"/>
      <c r="Q152" s="695"/>
      <c r="R152" s="695"/>
      <c r="S152" s="695"/>
      <c r="T152" s="695"/>
      <c r="U152" s="694"/>
      <c r="V152" s="694"/>
      <c r="W152" s="695"/>
    </row>
    <row r="153" spans="3:23" x14ac:dyDescent="0.25">
      <c r="C153" s="695"/>
      <c r="D153" s="694"/>
      <c r="E153" s="694"/>
      <c r="F153" s="1035"/>
      <c r="G153" s="695"/>
      <c r="H153" s="695"/>
      <c r="I153" s="695"/>
      <c r="J153" s="695"/>
      <c r="K153" s="695"/>
      <c r="L153" s="1036"/>
      <c r="M153" s="694"/>
      <c r="N153" s="695"/>
      <c r="O153" s="695"/>
      <c r="P153" s="695"/>
      <c r="Q153" s="695"/>
      <c r="R153" s="695"/>
      <c r="S153" s="695"/>
      <c r="T153" s="695"/>
      <c r="U153" s="694"/>
      <c r="V153" s="694"/>
      <c r="W153" s="695"/>
    </row>
    <row r="154" spans="3:23" x14ac:dyDescent="0.25">
      <c r="C154" s="695"/>
      <c r="D154" s="694"/>
      <c r="E154" s="694"/>
      <c r="F154" s="1035"/>
      <c r="G154" s="695"/>
      <c r="H154" s="695"/>
      <c r="I154" s="695"/>
      <c r="J154" s="695"/>
      <c r="K154" s="695"/>
      <c r="L154" s="1036"/>
      <c r="M154" s="694"/>
      <c r="N154" s="695"/>
      <c r="O154" s="695"/>
      <c r="P154" s="695"/>
      <c r="Q154" s="695"/>
      <c r="R154" s="695"/>
      <c r="S154" s="695"/>
      <c r="T154" s="695"/>
      <c r="U154" s="694"/>
      <c r="V154" s="694"/>
      <c r="W154" s="695"/>
    </row>
    <row r="155" spans="3:23" x14ac:dyDescent="0.25">
      <c r="C155" s="695"/>
      <c r="D155" s="694"/>
      <c r="E155" s="694"/>
      <c r="F155" s="1035"/>
      <c r="G155" s="695"/>
      <c r="H155" s="695"/>
      <c r="I155" s="695"/>
      <c r="J155" s="695"/>
      <c r="K155" s="695"/>
      <c r="L155" s="1036"/>
      <c r="M155" s="694"/>
      <c r="N155" s="695"/>
      <c r="O155" s="695"/>
      <c r="P155" s="695"/>
      <c r="Q155" s="695"/>
      <c r="R155" s="695"/>
      <c r="S155" s="695"/>
      <c r="T155" s="695"/>
      <c r="U155" s="694"/>
      <c r="V155" s="694"/>
      <c r="W155" s="695"/>
    </row>
    <row r="156" spans="3:23" x14ac:dyDescent="0.25">
      <c r="C156" s="695"/>
      <c r="D156" s="694"/>
      <c r="E156" s="694"/>
      <c r="F156" s="1035"/>
      <c r="G156" s="695"/>
      <c r="H156" s="695"/>
      <c r="I156" s="695"/>
      <c r="J156" s="695"/>
      <c r="K156" s="695"/>
      <c r="L156" s="1036"/>
      <c r="M156" s="694"/>
      <c r="N156" s="695"/>
      <c r="O156" s="695"/>
      <c r="P156" s="695"/>
      <c r="Q156" s="695"/>
      <c r="R156" s="695"/>
      <c r="S156" s="695"/>
      <c r="T156" s="695"/>
      <c r="U156" s="694"/>
      <c r="V156" s="694"/>
      <c r="W156" s="695"/>
    </row>
    <row r="157" spans="3:23" x14ac:dyDescent="0.25">
      <c r="C157" s="695"/>
      <c r="D157" s="694"/>
      <c r="E157" s="694"/>
      <c r="F157" s="1035"/>
      <c r="G157" s="695"/>
      <c r="H157" s="695"/>
      <c r="I157" s="695"/>
      <c r="J157" s="695"/>
      <c r="K157" s="695"/>
      <c r="L157" s="1036"/>
      <c r="M157" s="694"/>
      <c r="N157" s="695"/>
      <c r="O157" s="695"/>
      <c r="P157" s="695"/>
      <c r="Q157" s="695"/>
      <c r="R157" s="695"/>
      <c r="S157" s="695"/>
      <c r="T157" s="695"/>
      <c r="U157" s="694"/>
      <c r="V157" s="694"/>
      <c r="W157" s="695"/>
    </row>
    <row r="158" spans="3:23" x14ac:dyDescent="0.25">
      <c r="C158" s="695"/>
      <c r="D158" s="694"/>
      <c r="E158" s="694"/>
      <c r="F158" s="1035"/>
      <c r="G158" s="695"/>
      <c r="H158" s="695"/>
      <c r="I158" s="695"/>
      <c r="J158" s="695"/>
      <c r="K158" s="695"/>
      <c r="L158" s="1036"/>
      <c r="M158" s="694"/>
      <c r="N158" s="695"/>
      <c r="O158" s="695"/>
      <c r="P158" s="695"/>
      <c r="Q158" s="695"/>
      <c r="R158" s="695"/>
      <c r="S158" s="695"/>
      <c r="T158" s="695"/>
      <c r="U158" s="694"/>
      <c r="V158" s="694"/>
      <c r="W158" s="695"/>
    </row>
    <row r="159" spans="3:23" x14ac:dyDescent="0.25">
      <c r="C159" s="695"/>
      <c r="D159" s="694"/>
      <c r="E159" s="694"/>
      <c r="F159" s="1035"/>
      <c r="G159" s="695"/>
      <c r="H159" s="695"/>
      <c r="I159" s="695"/>
      <c r="J159" s="695"/>
      <c r="K159" s="695"/>
      <c r="L159" s="1036"/>
      <c r="M159" s="694"/>
      <c r="N159" s="695"/>
      <c r="O159" s="695"/>
      <c r="P159" s="695"/>
      <c r="Q159" s="695"/>
      <c r="R159" s="695"/>
      <c r="S159" s="695"/>
      <c r="T159" s="695"/>
      <c r="U159" s="694"/>
      <c r="V159" s="694"/>
      <c r="W159" s="695"/>
    </row>
    <row r="160" spans="3:23" x14ac:dyDescent="0.25">
      <c r="C160" s="695"/>
      <c r="D160" s="694"/>
      <c r="E160" s="694"/>
      <c r="F160" s="1035"/>
      <c r="G160" s="695"/>
      <c r="H160" s="695"/>
      <c r="I160" s="695"/>
      <c r="J160" s="695"/>
      <c r="K160" s="695"/>
      <c r="L160" s="1036"/>
      <c r="M160" s="694"/>
      <c r="N160" s="695"/>
      <c r="O160" s="695"/>
      <c r="P160" s="695"/>
      <c r="Q160" s="695"/>
      <c r="R160" s="695"/>
      <c r="S160" s="695"/>
      <c r="T160" s="695"/>
      <c r="U160" s="694"/>
      <c r="V160" s="694"/>
      <c r="W160" s="695"/>
    </row>
    <row r="161" spans="3:23" x14ac:dyDescent="0.25">
      <c r="C161" s="695"/>
      <c r="D161" s="694"/>
      <c r="E161" s="694"/>
      <c r="F161" s="1035"/>
      <c r="G161" s="695"/>
      <c r="H161" s="695"/>
      <c r="I161" s="695"/>
      <c r="J161" s="695"/>
      <c r="K161" s="695"/>
      <c r="L161" s="1036"/>
      <c r="M161" s="694"/>
      <c r="N161" s="695"/>
      <c r="O161" s="695"/>
      <c r="P161" s="695"/>
      <c r="Q161" s="695"/>
      <c r="R161" s="695"/>
      <c r="S161" s="695"/>
      <c r="T161" s="695"/>
      <c r="U161" s="694"/>
      <c r="V161" s="694"/>
      <c r="W161" s="695"/>
    </row>
    <row r="162" spans="3:23" x14ac:dyDescent="0.25">
      <c r="C162" s="695"/>
      <c r="D162" s="694"/>
      <c r="E162" s="694"/>
      <c r="F162" s="1035"/>
      <c r="G162" s="695"/>
      <c r="H162" s="695"/>
      <c r="I162" s="695"/>
      <c r="J162" s="695"/>
      <c r="K162" s="695"/>
      <c r="L162" s="1036"/>
      <c r="M162" s="694"/>
      <c r="N162" s="695"/>
      <c r="O162" s="695"/>
      <c r="P162" s="695"/>
      <c r="Q162" s="695"/>
      <c r="R162" s="695"/>
      <c r="S162" s="695"/>
      <c r="T162" s="695"/>
      <c r="U162" s="694"/>
      <c r="V162" s="694"/>
      <c r="W162" s="695"/>
    </row>
    <row r="163" spans="3:23" x14ac:dyDescent="0.25">
      <c r="C163" s="695"/>
      <c r="D163" s="694"/>
      <c r="E163" s="694"/>
      <c r="F163" s="1035"/>
      <c r="G163" s="695"/>
      <c r="H163" s="695"/>
      <c r="I163" s="695"/>
      <c r="J163" s="695"/>
      <c r="K163" s="695"/>
      <c r="L163" s="1036"/>
      <c r="M163" s="694"/>
      <c r="N163" s="695"/>
      <c r="O163" s="695"/>
      <c r="P163" s="695"/>
      <c r="Q163" s="695"/>
      <c r="R163" s="695"/>
      <c r="S163" s="695"/>
      <c r="T163" s="695"/>
      <c r="U163" s="694"/>
      <c r="V163" s="694"/>
      <c r="W163" s="695"/>
    </row>
    <row r="164" spans="3:23" x14ac:dyDescent="0.25">
      <c r="C164" s="695"/>
      <c r="D164" s="694"/>
      <c r="E164" s="694"/>
      <c r="F164" s="1035"/>
      <c r="G164" s="695"/>
      <c r="H164" s="695"/>
      <c r="I164" s="695"/>
      <c r="J164" s="695"/>
      <c r="K164" s="695"/>
      <c r="L164" s="1036"/>
      <c r="M164" s="694"/>
      <c r="N164" s="695"/>
      <c r="O164" s="695"/>
      <c r="P164" s="695"/>
      <c r="Q164" s="695"/>
      <c r="R164" s="695"/>
      <c r="S164" s="695"/>
      <c r="T164" s="695"/>
      <c r="U164" s="694"/>
      <c r="V164" s="694"/>
      <c r="W164" s="695"/>
    </row>
    <row r="165" spans="3:23" x14ac:dyDescent="0.25">
      <c r="C165" s="695"/>
      <c r="D165" s="694"/>
      <c r="E165" s="694"/>
      <c r="F165" s="1035"/>
      <c r="G165" s="695"/>
      <c r="H165" s="695"/>
      <c r="I165" s="695"/>
      <c r="J165" s="695"/>
      <c r="K165" s="695"/>
      <c r="L165" s="1036"/>
      <c r="M165" s="694"/>
      <c r="N165" s="695"/>
      <c r="O165" s="695"/>
      <c r="P165" s="695"/>
      <c r="Q165" s="695"/>
      <c r="R165" s="695"/>
      <c r="S165" s="695"/>
      <c r="T165" s="695"/>
      <c r="U165" s="694"/>
      <c r="V165" s="694"/>
      <c r="W165" s="695"/>
    </row>
    <row r="166" spans="3:23" x14ac:dyDescent="0.25">
      <c r="C166" s="695"/>
      <c r="D166" s="694"/>
      <c r="E166" s="694"/>
      <c r="F166" s="1035"/>
      <c r="G166" s="695"/>
      <c r="H166" s="695"/>
      <c r="I166" s="695"/>
      <c r="J166" s="695"/>
      <c r="K166" s="695"/>
      <c r="L166" s="1036"/>
      <c r="M166" s="694"/>
      <c r="N166" s="695"/>
      <c r="O166" s="695"/>
      <c r="P166" s="695"/>
      <c r="Q166" s="695"/>
      <c r="R166" s="695"/>
      <c r="S166" s="695"/>
      <c r="T166" s="695"/>
      <c r="U166" s="694"/>
      <c r="V166" s="694"/>
      <c r="W166" s="695"/>
    </row>
    <row r="167" spans="3:23" x14ac:dyDescent="0.25">
      <c r="C167" s="695"/>
      <c r="D167" s="694"/>
      <c r="E167" s="694"/>
      <c r="F167" s="1035"/>
      <c r="G167" s="695"/>
      <c r="H167" s="695"/>
      <c r="I167" s="695"/>
      <c r="J167" s="695"/>
      <c r="K167" s="695"/>
      <c r="L167" s="1036"/>
      <c r="M167" s="694"/>
      <c r="N167" s="695"/>
      <c r="O167" s="695"/>
      <c r="P167" s="695"/>
      <c r="Q167" s="695"/>
      <c r="R167" s="695"/>
      <c r="S167" s="695"/>
      <c r="T167" s="695"/>
      <c r="U167" s="694"/>
      <c r="V167" s="694"/>
      <c r="W167" s="695"/>
    </row>
    <row r="168" spans="3:23" x14ac:dyDescent="0.25">
      <c r="C168" s="695"/>
      <c r="D168" s="694"/>
      <c r="E168" s="694"/>
      <c r="F168" s="1035"/>
      <c r="G168" s="695"/>
      <c r="H168" s="695"/>
      <c r="I168" s="695"/>
      <c r="J168" s="695"/>
      <c r="K168" s="695"/>
      <c r="L168" s="1036"/>
      <c r="M168" s="694"/>
      <c r="N168" s="695"/>
      <c r="O168" s="695"/>
      <c r="P168" s="695"/>
      <c r="Q168" s="695"/>
      <c r="R168" s="695"/>
      <c r="S168" s="695"/>
      <c r="T168" s="695"/>
      <c r="U168" s="694"/>
      <c r="V168" s="694"/>
      <c r="W168" s="695"/>
    </row>
    <row r="169" spans="3:23" x14ac:dyDescent="0.25">
      <c r="C169" s="695"/>
      <c r="D169" s="694"/>
      <c r="E169" s="694"/>
      <c r="F169" s="1035"/>
      <c r="G169" s="695"/>
      <c r="H169" s="695"/>
      <c r="I169" s="695"/>
      <c r="J169" s="695"/>
      <c r="K169" s="695"/>
      <c r="L169" s="1036"/>
      <c r="M169" s="694"/>
      <c r="N169" s="695"/>
      <c r="O169" s="695"/>
      <c r="P169" s="695"/>
      <c r="Q169" s="695"/>
      <c r="R169" s="695"/>
      <c r="S169" s="695"/>
      <c r="T169" s="695"/>
      <c r="U169" s="694"/>
      <c r="V169" s="694"/>
      <c r="W169" s="695"/>
    </row>
    <row r="170" spans="3:23" x14ac:dyDescent="0.25">
      <c r="C170" s="695"/>
      <c r="D170" s="694"/>
      <c r="E170" s="694"/>
      <c r="F170" s="1035"/>
      <c r="G170" s="695"/>
      <c r="H170" s="695"/>
      <c r="I170" s="695"/>
      <c r="J170" s="695"/>
      <c r="K170" s="695"/>
      <c r="L170" s="1036"/>
      <c r="M170" s="694"/>
      <c r="N170" s="695"/>
      <c r="O170" s="695"/>
      <c r="P170" s="695"/>
      <c r="Q170" s="695"/>
      <c r="R170" s="695"/>
      <c r="S170" s="695"/>
      <c r="T170" s="695"/>
      <c r="U170" s="694"/>
      <c r="V170" s="694"/>
      <c r="W170" s="695"/>
    </row>
    <row r="171" spans="3:23" x14ac:dyDescent="0.25">
      <c r="C171" s="695"/>
      <c r="D171" s="694"/>
      <c r="E171" s="694"/>
      <c r="F171" s="1035"/>
      <c r="G171" s="695"/>
      <c r="H171" s="695"/>
      <c r="I171" s="695"/>
      <c r="J171" s="695"/>
      <c r="K171" s="695"/>
      <c r="L171" s="1036"/>
      <c r="M171" s="694"/>
      <c r="N171" s="695"/>
      <c r="O171" s="695"/>
      <c r="P171" s="695"/>
      <c r="Q171" s="695"/>
      <c r="R171" s="695"/>
      <c r="S171" s="695"/>
      <c r="T171" s="695"/>
      <c r="U171" s="694"/>
      <c r="V171" s="694"/>
      <c r="W171" s="695"/>
    </row>
    <row r="172" spans="3:23" x14ac:dyDescent="0.25">
      <c r="C172" s="695"/>
      <c r="D172" s="694"/>
      <c r="E172" s="694"/>
      <c r="F172" s="1035"/>
      <c r="G172" s="695"/>
      <c r="H172" s="695"/>
      <c r="I172" s="695"/>
      <c r="J172" s="695"/>
      <c r="K172" s="695"/>
      <c r="L172" s="1036"/>
      <c r="M172" s="694"/>
      <c r="N172" s="695"/>
      <c r="O172" s="695"/>
      <c r="P172" s="695"/>
      <c r="Q172" s="695"/>
      <c r="R172" s="695"/>
      <c r="S172" s="695"/>
      <c r="T172" s="695"/>
      <c r="U172" s="694"/>
      <c r="V172" s="694"/>
      <c r="W172" s="695"/>
    </row>
    <row r="173" spans="3:23" x14ac:dyDescent="0.25">
      <c r="C173" s="695"/>
      <c r="D173" s="694"/>
      <c r="E173" s="694"/>
      <c r="F173" s="1035"/>
      <c r="G173" s="695"/>
      <c r="H173" s="695"/>
      <c r="I173" s="695"/>
      <c r="J173" s="695"/>
      <c r="K173" s="695"/>
      <c r="L173" s="1036"/>
      <c r="M173" s="694"/>
      <c r="N173" s="695"/>
      <c r="O173" s="695"/>
      <c r="P173" s="695"/>
      <c r="Q173" s="695"/>
      <c r="R173" s="695"/>
      <c r="S173" s="695"/>
      <c r="T173" s="695"/>
      <c r="U173" s="694"/>
      <c r="V173" s="694"/>
      <c r="W173" s="695"/>
    </row>
    <row r="174" spans="3:23" x14ac:dyDescent="0.25">
      <c r="C174" s="695"/>
      <c r="D174" s="694"/>
      <c r="E174" s="694"/>
      <c r="F174" s="1035"/>
      <c r="G174" s="695"/>
      <c r="H174" s="695"/>
      <c r="I174" s="695"/>
      <c r="J174" s="695"/>
      <c r="K174" s="695"/>
      <c r="L174" s="1036"/>
      <c r="M174" s="694"/>
      <c r="N174" s="695"/>
      <c r="O174" s="695"/>
      <c r="P174" s="695"/>
      <c r="Q174" s="695"/>
      <c r="R174" s="695"/>
      <c r="S174" s="695"/>
      <c r="T174" s="695"/>
      <c r="U174" s="694"/>
      <c r="V174" s="694"/>
      <c r="W174" s="695"/>
    </row>
    <row r="175" spans="3:23" x14ac:dyDescent="0.25">
      <c r="C175" s="695"/>
      <c r="D175" s="694"/>
      <c r="E175" s="694"/>
      <c r="F175" s="1035"/>
      <c r="G175" s="695"/>
      <c r="H175" s="695"/>
      <c r="I175" s="695"/>
      <c r="J175" s="695"/>
      <c r="K175" s="695"/>
      <c r="L175" s="1036"/>
      <c r="M175" s="694"/>
      <c r="N175" s="695"/>
      <c r="O175" s="695"/>
      <c r="P175" s="695"/>
      <c r="Q175" s="695"/>
      <c r="R175" s="695"/>
      <c r="S175" s="695"/>
      <c r="T175" s="695"/>
      <c r="U175" s="694"/>
      <c r="V175" s="694"/>
      <c r="W175" s="695"/>
    </row>
    <row r="176" spans="3:23" x14ac:dyDescent="0.25">
      <c r="C176" s="695"/>
      <c r="D176" s="694"/>
      <c r="E176" s="694"/>
      <c r="F176" s="1035"/>
      <c r="G176" s="695"/>
      <c r="H176" s="695"/>
      <c r="I176" s="695"/>
      <c r="J176" s="695"/>
      <c r="K176" s="695"/>
      <c r="L176" s="1036"/>
      <c r="M176" s="694"/>
      <c r="N176" s="695"/>
      <c r="O176" s="695"/>
      <c r="P176" s="695"/>
      <c r="Q176" s="695"/>
      <c r="R176" s="695"/>
      <c r="S176" s="695"/>
      <c r="T176" s="695"/>
      <c r="U176" s="694"/>
      <c r="V176" s="694"/>
      <c r="W176" s="695"/>
    </row>
    <row r="177" spans="3:23" x14ac:dyDescent="0.25">
      <c r="C177" s="695"/>
      <c r="D177" s="694"/>
      <c r="E177" s="694"/>
      <c r="F177" s="1035"/>
      <c r="G177" s="695"/>
      <c r="H177" s="695"/>
      <c r="I177" s="695"/>
      <c r="J177" s="695"/>
      <c r="K177" s="695"/>
      <c r="L177" s="1036"/>
      <c r="M177" s="694"/>
      <c r="N177" s="695"/>
      <c r="O177" s="695"/>
      <c r="P177" s="695"/>
      <c r="Q177" s="695"/>
      <c r="R177" s="695"/>
      <c r="S177" s="695"/>
      <c r="T177" s="695"/>
      <c r="U177" s="694"/>
      <c r="V177" s="694"/>
      <c r="W177" s="695"/>
    </row>
    <row r="178" spans="3:23" x14ac:dyDescent="0.25">
      <c r="C178" s="695"/>
      <c r="D178" s="694"/>
      <c r="E178" s="694"/>
      <c r="F178" s="1035"/>
      <c r="G178" s="695"/>
      <c r="H178" s="695"/>
      <c r="I178" s="695"/>
      <c r="J178" s="695"/>
      <c r="K178" s="695"/>
      <c r="L178" s="1036"/>
      <c r="M178" s="694"/>
      <c r="N178" s="695"/>
      <c r="O178" s="695"/>
      <c r="P178" s="695"/>
      <c r="Q178" s="695"/>
      <c r="R178" s="695"/>
      <c r="S178" s="695"/>
      <c r="T178" s="695"/>
      <c r="U178" s="694"/>
      <c r="V178" s="694"/>
      <c r="W178" s="695"/>
    </row>
    <row r="179" spans="3:23" x14ac:dyDescent="0.25">
      <c r="C179" s="695"/>
      <c r="D179" s="694"/>
      <c r="E179" s="694"/>
      <c r="F179" s="1035"/>
      <c r="G179" s="695"/>
      <c r="H179" s="695"/>
      <c r="I179" s="695"/>
      <c r="J179" s="695"/>
      <c r="K179" s="695"/>
      <c r="L179" s="1036"/>
      <c r="M179" s="694"/>
      <c r="N179" s="695"/>
      <c r="O179" s="695"/>
      <c r="P179" s="695"/>
      <c r="Q179" s="695"/>
      <c r="R179" s="695"/>
      <c r="S179" s="695"/>
      <c r="T179" s="695"/>
      <c r="U179" s="694"/>
      <c r="V179" s="694"/>
      <c r="W179" s="695"/>
    </row>
    <row r="180" spans="3:23" x14ac:dyDescent="0.25">
      <c r="C180" s="695"/>
      <c r="D180" s="694"/>
      <c r="E180" s="694"/>
      <c r="F180" s="1035"/>
      <c r="G180" s="695"/>
      <c r="H180" s="695"/>
      <c r="I180" s="695"/>
      <c r="J180" s="695"/>
      <c r="K180" s="695"/>
      <c r="L180" s="1036"/>
      <c r="M180" s="694"/>
      <c r="N180" s="695"/>
      <c r="O180" s="695"/>
      <c r="P180" s="695"/>
      <c r="Q180" s="695"/>
      <c r="R180" s="695"/>
      <c r="S180" s="695"/>
      <c r="T180" s="695"/>
      <c r="U180" s="694"/>
      <c r="V180" s="694"/>
      <c r="W180" s="695"/>
    </row>
    <row r="181" spans="3:23" x14ac:dyDescent="0.25">
      <c r="C181" s="695"/>
      <c r="D181" s="694"/>
      <c r="E181" s="694"/>
      <c r="F181" s="1035"/>
      <c r="G181" s="695"/>
      <c r="H181" s="695"/>
      <c r="I181" s="695"/>
      <c r="J181" s="695"/>
      <c r="K181" s="695"/>
      <c r="L181" s="1036"/>
      <c r="M181" s="694"/>
      <c r="N181" s="695"/>
      <c r="O181" s="695"/>
      <c r="P181" s="695"/>
      <c r="Q181" s="695"/>
      <c r="R181" s="695"/>
      <c r="S181" s="695"/>
      <c r="T181" s="695"/>
      <c r="U181" s="694"/>
      <c r="V181" s="694"/>
      <c r="W181" s="695"/>
    </row>
    <row r="182" spans="3:23" x14ac:dyDescent="0.25">
      <c r="C182" s="695"/>
      <c r="D182" s="694"/>
      <c r="E182" s="694"/>
      <c r="F182" s="1035"/>
      <c r="G182" s="695"/>
      <c r="H182" s="695"/>
      <c r="I182" s="695"/>
      <c r="J182" s="695"/>
      <c r="K182" s="695"/>
      <c r="L182" s="1036"/>
      <c r="M182" s="694"/>
      <c r="N182" s="695"/>
      <c r="O182" s="695"/>
      <c r="P182" s="695"/>
      <c r="Q182" s="695"/>
      <c r="R182" s="695"/>
      <c r="S182" s="695"/>
      <c r="T182" s="695"/>
      <c r="U182" s="694"/>
      <c r="V182" s="694"/>
      <c r="W182" s="695"/>
    </row>
    <row r="183" spans="3:23" x14ac:dyDescent="0.25">
      <c r="C183" s="695"/>
      <c r="D183" s="694"/>
      <c r="E183" s="694"/>
      <c r="F183" s="1035"/>
      <c r="G183" s="695"/>
      <c r="H183" s="695"/>
      <c r="I183" s="695"/>
      <c r="J183" s="695"/>
      <c r="K183" s="695"/>
      <c r="L183" s="1036"/>
      <c r="M183" s="694"/>
      <c r="N183" s="695"/>
      <c r="O183" s="695"/>
      <c r="P183" s="695"/>
      <c r="Q183" s="695"/>
      <c r="R183" s="695"/>
      <c r="S183" s="695"/>
      <c r="T183" s="695"/>
      <c r="U183" s="694"/>
      <c r="V183" s="694"/>
      <c r="W183" s="695"/>
    </row>
    <row r="184" spans="3:23" x14ac:dyDescent="0.25">
      <c r="C184" s="695"/>
      <c r="D184" s="694"/>
      <c r="E184" s="694"/>
      <c r="F184" s="1035"/>
      <c r="G184" s="695"/>
      <c r="H184" s="695"/>
      <c r="I184" s="695"/>
      <c r="J184" s="695"/>
      <c r="K184" s="695"/>
      <c r="L184" s="1036"/>
      <c r="M184" s="694"/>
      <c r="N184" s="695"/>
      <c r="O184" s="695"/>
      <c r="P184" s="695"/>
      <c r="Q184" s="695"/>
      <c r="R184" s="695"/>
      <c r="S184" s="695"/>
      <c r="T184" s="695"/>
      <c r="U184" s="694"/>
      <c r="V184" s="694"/>
      <c r="W184" s="695"/>
    </row>
    <row r="185" spans="3:23" x14ac:dyDescent="0.25">
      <c r="C185" s="695"/>
      <c r="D185" s="694"/>
      <c r="E185" s="694"/>
      <c r="F185" s="1035"/>
      <c r="G185" s="695"/>
      <c r="H185" s="695"/>
      <c r="I185" s="695"/>
      <c r="J185" s="695"/>
      <c r="K185" s="695"/>
      <c r="L185" s="1036"/>
      <c r="M185" s="694"/>
      <c r="N185" s="695"/>
      <c r="O185" s="695"/>
      <c r="P185" s="695"/>
      <c r="Q185" s="695"/>
      <c r="R185" s="695"/>
      <c r="S185" s="695"/>
      <c r="T185" s="695"/>
      <c r="U185" s="694"/>
      <c r="V185" s="694"/>
      <c r="W185" s="695"/>
    </row>
    <row r="186" spans="3:23" x14ac:dyDescent="0.25">
      <c r="C186" s="695"/>
      <c r="D186" s="694"/>
      <c r="E186" s="694"/>
      <c r="F186" s="1035"/>
      <c r="G186" s="695"/>
      <c r="H186" s="695"/>
      <c r="I186" s="695"/>
      <c r="J186" s="695"/>
      <c r="K186" s="695"/>
      <c r="L186" s="1036"/>
      <c r="M186" s="694"/>
      <c r="N186" s="695"/>
      <c r="O186" s="695"/>
      <c r="P186" s="695"/>
      <c r="Q186" s="695"/>
      <c r="R186" s="695"/>
      <c r="S186" s="695"/>
      <c r="T186" s="695"/>
      <c r="U186" s="694"/>
      <c r="V186" s="694"/>
      <c r="W186" s="695"/>
    </row>
    <row r="187" spans="3:23" x14ac:dyDescent="0.25">
      <c r="C187" s="695"/>
      <c r="D187" s="694"/>
      <c r="E187" s="694"/>
      <c r="F187" s="1035"/>
      <c r="G187" s="695"/>
      <c r="H187" s="695"/>
      <c r="I187" s="695"/>
      <c r="J187" s="695"/>
      <c r="K187" s="695"/>
      <c r="L187" s="1036"/>
      <c r="M187" s="694"/>
      <c r="N187" s="695"/>
      <c r="O187" s="695"/>
      <c r="P187" s="695"/>
      <c r="Q187" s="695"/>
      <c r="R187" s="695"/>
      <c r="S187" s="695"/>
      <c r="T187" s="695"/>
      <c r="U187" s="694"/>
      <c r="V187" s="694"/>
      <c r="W187" s="695"/>
    </row>
    <row r="188" spans="3:23" x14ac:dyDescent="0.25">
      <c r="C188" s="695"/>
      <c r="D188" s="694"/>
      <c r="E188" s="694"/>
      <c r="F188" s="1035"/>
      <c r="G188" s="695"/>
      <c r="H188" s="695"/>
      <c r="I188" s="695"/>
      <c r="J188" s="695"/>
      <c r="K188" s="695"/>
      <c r="L188" s="1036"/>
      <c r="M188" s="694"/>
      <c r="N188" s="695"/>
      <c r="O188" s="695"/>
      <c r="P188" s="695"/>
      <c r="Q188" s="695"/>
      <c r="R188" s="695"/>
      <c r="S188" s="695"/>
      <c r="T188" s="695"/>
      <c r="U188" s="694"/>
      <c r="V188" s="694"/>
      <c r="W188" s="695"/>
    </row>
    <row r="189" spans="3:23" x14ac:dyDescent="0.25">
      <c r="C189" s="695"/>
      <c r="D189" s="694"/>
      <c r="E189" s="694"/>
      <c r="F189" s="1035"/>
      <c r="G189" s="695"/>
      <c r="H189" s="695"/>
      <c r="I189" s="695"/>
      <c r="J189" s="695"/>
      <c r="K189" s="695"/>
      <c r="L189" s="1036"/>
      <c r="M189" s="694"/>
      <c r="N189" s="695"/>
      <c r="O189" s="695"/>
      <c r="P189" s="695"/>
      <c r="Q189" s="695"/>
      <c r="R189" s="695"/>
      <c r="S189" s="695"/>
      <c r="T189" s="695"/>
      <c r="U189" s="694"/>
      <c r="V189" s="694"/>
      <c r="W189" s="695"/>
    </row>
    <row r="190" spans="3:23" x14ac:dyDescent="0.25">
      <c r="C190" s="695"/>
      <c r="D190" s="694"/>
      <c r="E190" s="694"/>
      <c r="F190" s="1035"/>
      <c r="G190" s="695"/>
      <c r="H190" s="695"/>
      <c r="I190" s="695"/>
      <c r="J190" s="695"/>
      <c r="K190" s="695"/>
      <c r="L190" s="1036"/>
      <c r="M190" s="694"/>
      <c r="N190" s="695"/>
      <c r="O190" s="695"/>
      <c r="P190" s="695"/>
      <c r="Q190" s="695"/>
      <c r="R190" s="695"/>
      <c r="S190" s="695"/>
      <c r="T190" s="695"/>
      <c r="U190" s="694"/>
      <c r="V190" s="694"/>
      <c r="W190" s="695"/>
    </row>
    <row r="191" spans="3:23" x14ac:dyDescent="0.25">
      <c r="C191" s="695"/>
      <c r="D191" s="694"/>
      <c r="E191" s="694"/>
      <c r="F191" s="1035"/>
      <c r="G191" s="695"/>
      <c r="H191" s="695"/>
      <c r="I191" s="695"/>
      <c r="J191" s="695"/>
      <c r="K191" s="695"/>
      <c r="L191" s="1036"/>
      <c r="M191" s="694"/>
      <c r="N191" s="695"/>
      <c r="O191" s="695"/>
      <c r="P191" s="695"/>
      <c r="Q191" s="695"/>
      <c r="R191" s="695"/>
      <c r="S191" s="695"/>
      <c r="T191" s="695"/>
      <c r="U191" s="694"/>
      <c r="V191" s="694"/>
      <c r="W191" s="695"/>
    </row>
    <row r="192" spans="3:23" x14ac:dyDescent="0.25">
      <c r="C192" s="695"/>
      <c r="D192" s="694"/>
      <c r="E192" s="694"/>
      <c r="F192" s="1035"/>
      <c r="G192" s="695"/>
      <c r="H192" s="695"/>
      <c r="I192" s="695"/>
      <c r="J192" s="695"/>
      <c r="K192" s="695"/>
      <c r="L192" s="1036"/>
      <c r="M192" s="694"/>
      <c r="N192" s="695"/>
      <c r="O192" s="695"/>
      <c r="P192" s="695"/>
      <c r="Q192" s="695"/>
      <c r="R192" s="695"/>
      <c r="S192" s="695"/>
      <c r="T192" s="695"/>
      <c r="U192" s="694"/>
      <c r="V192" s="694"/>
      <c r="W192" s="695"/>
    </row>
    <row r="193" spans="3:23" x14ac:dyDescent="0.25">
      <c r="C193" s="695"/>
      <c r="D193" s="694"/>
      <c r="E193" s="694"/>
      <c r="F193" s="1035"/>
      <c r="G193" s="695"/>
      <c r="H193" s="695"/>
      <c r="I193" s="695"/>
      <c r="J193" s="695"/>
      <c r="K193" s="695"/>
      <c r="L193" s="1036"/>
      <c r="M193" s="694"/>
      <c r="N193" s="695"/>
      <c r="O193" s="695"/>
      <c r="P193" s="695"/>
      <c r="Q193" s="695"/>
      <c r="R193" s="695"/>
      <c r="S193" s="695"/>
      <c r="T193" s="695"/>
      <c r="U193" s="694"/>
      <c r="V193" s="694"/>
      <c r="W193" s="695"/>
    </row>
    <row r="194" spans="3:23" x14ac:dyDescent="0.25">
      <c r="C194" s="695"/>
      <c r="D194" s="694"/>
      <c r="E194" s="694"/>
      <c r="F194" s="1035"/>
      <c r="G194" s="695"/>
      <c r="H194" s="695"/>
      <c r="I194" s="695"/>
      <c r="J194" s="695"/>
      <c r="K194" s="695"/>
      <c r="L194" s="1036"/>
      <c r="M194" s="694"/>
      <c r="N194" s="695"/>
      <c r="O194" s="695"/>
      <c r="P194" s="695"/>
      <c r="Q194" s="695"/>
      <c r="R194" s="695"/>
      <c r="S194" s="695"/>
      <c r="T194" s="695"/>
      <c r="U194" s="694"/>
      <c r="V194" s="694"/>
      <c r="W194" s="695"/>
    </row>
    <row r="195" spans="3:23" x14ac:dyDescent="0.25">
      <c r="C195" s="695"/>
      <c r="D195" s="694"/>
      <c r="E195" s="694"/>
      <c r="F195" s="1035"/>
      <c r="G195" s="695"/>
      <c r="H195" s="695"/>
      <c r="I195" s="695"/>
      <c r="J195" s="695"/>
      <c r="K195" s="695"/>
      <c r="L195" s="1036"/>
      <c r="M195" s="694"/>
      <c r="N195" s="695"/>
      <c r="O195" s="695"/>
      <c r="P195" s="695"/>
      <c r="Q195" s="695"/>
      <c r="R195" s="695"/>
      <c r="S195" s="695"/>
      <c r="T195" s="695"/>
      <c r="U195" s="694"/>
      <c r="V195" s="694"/>
      <c r="W195" s="695"/>
    </row>
    <row r="196" spans="3:23" x14ac:dyDescent="0.25">
      <c r="C196" s="695"/>
      <c r="D196" s="694"/>
      <c r="E196" s="694"/>
      <c r="F196" s="1035"/>
      <c r="G196" s="695"/>
      <c r="H196" s="695"/>
      <c r="I196" s="695"/>
      <c r="J196" s="695"/>
      <c r="K196" s="695"/>
      <c r="L196" s="1036"/>
      <c r="M196" s="694"/>
      <c r="N196" s="695"/>
      <c r="O196" s="695"/>
      <c r="P196" s="695"/>
      <c r="Q196" s="695"/>
      <c r="R196" s="695"/>
      <c r="S196" s="695"/>
      <c r="T196" s="695"/>
      <c r="U196" s="694"/>
      <c r="V196" s="694"/>
      <c r="W196" s="695"/>
    </row>
    <row r="197" spans="3:23" x14ac:dyDescent="0.25">
      <c r="C197" s="695"/>
      <c r="D197" s="694"/>
      <c r="E197" s="694"/>
      <c r="F197" s="1035"/>
      <c r="G197" s="695"/>
      <c r="H197" s="695"/>
      <c r="I197" s="695"/>
      <c r="J197" s="695"/>
      <c r="K197" s="695"/>
      <c r="L197" s="1036"/>
      <c r="M197" s="694"/>
      <c r="N197" s="695"/>
      <c r="O197" s="695"/>
      <c r="P197" s="695"/>
      <c r="Q197" s="695"/>
      <c r="R197" s="695"/>
      <c r="S197" s="695"/>
      <c r="T197" s="695"/>
      <c r="U197" s="694"/>
      <c r="V197" s="694"/>
      <c r="W197" s="695"/>
    </row>
    <row r="198" spans="3:23" x14ac:dyDescent="0.25">
      <c r="C198" s="695"/>
      <c r="D198" s="694"/>
      <c r="E198" s="694"/>
      <c r="F198" s="1035"/>
      <c r="G198" s="695"/>
      <c r="H198" s="695"/>
      <c r="I198" s="695"/>
      <c r="J198" s="695"/>
      <c r="K198" s="695"/>
      <c r="L198" s="1036"/>
      <c r="M198" s="694"/>
      <c r="N198" s="695"/>
      <c r="O198" s="695"/>
      <c r="P198" s="695"/>
      <c r="Q198" s="695"/>
      <c r="R198" s="695"/>
      <c r="S198" s="695"/>
      <c r="T198" s="695"/>
      <c r="U198" s="694"/>
      <c r="V198" s="694"/>
      <c r="W198" s="695"/>
    </row>
    <row r="199" spans="3:23" x14ac:dyDescent="0.25">
      <c r="C199" s="695"/>
      <c r="D199" s="694"/>
      <c r="E199" s="694"/>
      <c r="F199" s="1035"/>
      <c r="G199" s="695"/>
      <c r="H199" s="695"/>
      <c r="I199" s="695"/>
      <c r="J199" s="695"/>
      <c r="K199" s="695"/>
      <c r="L199" s="1036"/>
      <c r="M199" s="694"/>
      <c r="N199" s="695"/>
      <c r="O199" s="695"/>
      <c r="P199" s="695"/>
      <c r="Q199" s="695"/>
      <c r="R199" s="695"/>
      <c r="S199" s="695"/>
      <c r="T199" s="695"/>
      <c r="U199" s="694"/>
      <c r="V199" s="694"/>
      <c r="W199" s="695"/>
    </row>
    <row r="200" spans="3:23" x14ac:dyDescent="0.25">
      <c r="C200" s="695"/>
      <c r="D200" s="694"/>
      <c r="E200" s="694"/>
      <c r="F200" s="1035"/>
      <c r="G200" s="695"/>
      <c r="H200" s="695"/>
      <c r="I200" s="695"/>
      <c r="J200" s="695"/>
      <c r="K200" s="695"/>
      <c r="L200" s="1036"/>
      <c r="M200" s="694"/>
      <c r="N200" s="695"/>
      <c r="O200" s="695"/>
      <c r="P200" s="695"/>
      <c r="Q200" s="695"/>
      <c r="R200" s="695"/>
      <c r="S200" s="695"/>
      <c r="T200" s="695"/>
      <c r="U200" s="694"/>
      <c r="V200" s="694"/>
      <c r="W200" s="695"/>
    </row>
    <row r="201" spans="3:23" x14ac:dyDescent="0.25">
      <c r="C201" s="695"/>
      <c r="D201" s="694"/>
      <c r="E201" s="694"/>
      <c r="F201" s="1035"/>
      <c r="G201" s="695"/>
      <c r="H201" s="695"/>
      <c r="I201" s="695"/>
      <c r="J201" s="695"/>
      <c r="K201" s="695"/>
      <c r="L201" s="1036"/>
      <c r="M201" s="694"/>
      <c r="N201" s="695"/>
      <c r="O201" s="695"/>
      <c r="P201" s="695"/>
      <c r="Q201" s="695"/>
      <c r="R201" s="695"/>
      <c r="S201" s="695"/>
      <c r="T201" s="695"/>
      <c r="U201" s="694"/>
      <c r="V201" s="694"/>
      <c r="W201" s="695"/>
    </row>
    <row r="202" spans="3:23" x14ac:dyDescent="0.25">
      <c r="C202" s="695"/>
      <c r="D202" s="694"/>
      <c r="E202" s="694"/>
      <c r="F202" s="1035"/>
      <c r="G202" s="695"/>
      <c r="H202" s="695"/>
      <c r="I202" s="695"/>
      <c r="J202" s="695"/>
      <c r="K202" s="695"/>
      <c r="L202" s="1036"/>
      <c r="M202" s="694"/>
      <c r="N202" s="695"/>
      <c r="O202" s="695"/>
      <c r="P202" s="695"/>
      <c r="Q202" s="695"/>
      <c r="R202" s="695"/>
      <c r="S202" s="695"/>
      <c r="T202" s="695"/>
      <c r="U202" s="694"/>
      <c r="V202" s="694"/>
      <c r="W202" s="695"/>
    </row>
    <row r="203" spans="3:23" x14ac:dyDescent="0.25">
      <c r="C203" s="695"/>
      <c r="D203" s="694"/>
      <c r="E203" s="694"/>
      <c r="F203" s="1035"/>
      <c r="G203" s="695"/>
      <c r="H203" s="695"/>
      <c r="I203" s="695"/>
      <c r="J203" s="695"/>
      <c r="K203" s="695"/>
      <c r="L203" s="1036"/>
      <c r="M203" s="694"/>
      <c r="N203" s="695"/>
      <c r="O203" s="695"/>
      <c r="P203" s="695"/>
      <c r="Q203" s="695"/>
      <c r="R203" s="695"/>
      <c r="S203" s="695"/>
      <c r="T203" s="695"/>
      <c r="U203" s="694"/>
      <c r="V203" s="694"/>
      <c r="W203" s="695"/>
    </row>
    <row r="204" spans="3:23" x14ac:dyDescent="0.25">
      <c r="C204" s="695"/>
      <c r="D204" s="694"/>
      <c r="E204" s="694"/>
      <c r="F204" s="1035"/>
      <c r="G204" s="695"/>
      <c r="H204" s="695"/>
      <c r="I204" s="695"/>
      <c r="J204" s="695"/>
      <c r="K204" s="695"/>
      <c r="L204" s="1036"/>
      <c r="M204" s="694"/>
      <c r="N204" s="695"/>
      <c r="O204" s="695"/>
      <c r="P204" s="695"/>
      <c r="Q204" s="695"/>
      <c r="R204" s="695"/>
      <c r="S204" s="695"/>
      <c r="T204" s="695"/>
      <c r="U204" s="694"/>
      <c r="V204" s="694"/>
      <c r="W204" s="695"/>
    </row>
    <row r="205" spans="3:23" x14ac:dyDescent="0.25">
      <c r="C205" s="695"/>
      <c r="D205" s="694"/>
      <c r="E205" s="694"/>
      <c r="F205" s="1035"/>
      <c r="G205" s="695"/>
      <c r="H205" s="695"/>
      <c r="I205" s="695"/>
      <c r="J205" s="695"/>
      <c r="K205" s="695"/>
      <c r="L205" s="1036"/>
      <c r="M205" s="694"/>
      <c r="N205" s="695"/>
      <c r="O205" s="695"/>
      <c r="P205" s="695"/>
      <c r="Q205" s="695"/>
      <c r="R205" s="695"/>
      <c r="S205" s="695"/>
      <c r="T205" s="695"/>
      <c r="U205" s="694"/>
      <c r="V205" s="694"/>
      <c r="W205" s="695"/>
    </row>
    <row r="206" spans="3:23" x14ac:dyDescent="0.25">
      <c r="C206" s="695"/>
      <c r="D206" s="694"/>
      <c r="E206" s="694"/>
      <c r="F206" s="1035"/>
      <c r="G206" s="695"/>
      <c r="H206" s="695"/>
      <c r="I206" s="695"/>
      <c r="J206" s="695"/>
      <c r="K206" s="695"/>
      <c r="L206" s="1036"/>
      <c r="M206" s="694"/>
      <c r="N206" s="695"/>
      <c r="O206" s="695"/>
      <c r="P206" s="695"/>
      <c r="Q206" s="695"/>
      <c r="R206" s="695"/>
      <c r="S206" s="695"/>
      <c r="T206" s="695"/>
      <c r="U206" s="694"/>
      <c r="V206" s="694"/>
      <c r="W206" s="695"/>
    </row>
    <row r="207" spans="3:23" x14ac:dyDescent="0.25">
      <c r="C207" s="695"/>
      <c r="D207" s="694"/>
      <c r="E207" s="694"/>
      <c r="F207" s="1035"/>
      <c r="G207" s="695"/>
      <c r="H207" s="695"/>
      <c r="I207" s="695"/>
      <c r="J207" s="695"/>
      <c r="K207" s="695"/>
      <c r="L207" s="1036"/>
      <c r="M207" s="694"/>
      <c r="N207" s="695"/>
      <c r="O207" s="695"/>
      <c r="P207" s="695"/>
      <c r="Q207" s="695"/>
      <c r="R207" s="695"/>
      <c r="S207" s="695"/>
      <c r="T207" s="695"/>
      <c r="U207" s="694"/>
      <c r="V207" s="694"/>
      <c r="W207" s="695"/>
    </row>
    <row r="208" spans="3:23" x14ac:dyDescent="0.25">
      <c r="C208" s="695"/>
      <c r="D208" s="694"/>
      <c r="E208" s="694"/>
      <c r="F208" s="1035"/>
      <c r="G208" s="695"/>
      <c r="H208" s="695"/>
      <c r="I208" s="695"/>
      <c r="J208" s="695"/>
      <c r="K208" s="695"/>
      <c r="L208" s="1036"/>
      <c r="M208" s="694"/>
      <c r="N208" s="695"/>
      <c r="O208" s="695"/>
      <c r="P208" s="695"/>
      <c r="Q208" s="695"/>
      <c r="R208" s="695"/>
      <c r="S208" s="695"/>
      <c r="T208" s="695"/>
      <c r="U208" s="694"/>
      <c r="V208" s="694"/>
      <c r="W208" s="695"/>
    </row>
    <row r="209" spans="3:23" x14ac:dyDescent="0.25">
      <c r="C209" s="695"/>
      <c r="D209" s="694"/>
      <c r="E209" s="694"/>
      <c r="F209" s="1035"/>
      <c r="G209" s="695"/>
      <c r="H209" s="695"/>
      <c r="I209" s="695"/>
      <c r="J209" s="695"/>
      <c r="K209" s="695"/>
      <c r="L209" s="1036"/>
      <c r="M209" s="694"/>
      <c r="N209" s="695"/>
      <c r="O209" s="695"/>
      <c r="P209" s="695"/>
      <c r="Q209" s="695"/>
      <c r="R209" s="695"/>
      <c r="S209" s="695"/>
      <c r="T209" s="695"/>
      <c r="U209" s="694"/>
      <c r="V209" s="694"/>
      <c r="W209" s="695"/>
    </row>
    <row r="210" spans="3:23" x14ac:dyDescent="0.25">
      <c r="C210" s="695"/>
      <c r="D210" s="694"/>
      <c r="E210" s="694"/>
      <c r="F210" s="1035"/>
      <c r="G210" s="695"/>
      <c r="H210" s="695"/>
      <c r="I210" s="695"/>
      <c r="J210" s="695"/>
      <c r="K210" s="695"/>
      <c r="L210" s="1036"/>
      <c r="M210" s="694"/>
      <c r="N210" s="695"/>
      <c r="O210" s="695"/>
      <c r="P210" s="695"/>
      <c r="Q210" s="695"/>
      <c r="R210" s="695"/>
      <c r="S210" s="695"/>
      <c r="T210" s="695"/>
      <c r="U210" s="694"/>
      <c r="V210" s="694"/>
      <c r="W210" s="695"/>
    </row>
    <row r="211" spans="3:23" x14ac:dyDescent="0.25">
      <c r="C211" s="695"/>
      <c r="D211" s="694"/>
      <c r="E211" s="694"/>
      <c r="F211" s="1035"/>
      <c r="G211" s="695"/>
      <c r="H211" s="695"/>
      <c r="I211" s="695"/>
      <c r="J211" s="695"/>
      <c r="K211" s="695"/>
      <c r="L211" s="1036"/>
      <c r="M211" s="694"/>
      <c r="N211" s="695"/>
      <c r="O211" s="695"/>
      <c r="P211" s="695"/>
      <c r="Q211" s="695"/>
      <c r="R211" s="695"/>
      <c r="S211" s="695"/>
      <c r="T211" s="695"/>
      <c r="U211" s="694"/>
      <c r="V211" s="694"/>
      <c r="W211" s="695"/>
    </row>
    <row r="212" spans="3:23" x14ac:dyDescent="0.25">
      <c r="C212" s="695"/>
      <c r="D212" s="694"/>
      <c r="E212" s="694"/>
      <c r="F212" s="1035"/>
      <c r="G212" s="695"/>
      <c r="H212" s="695"/>
      <c r="I212" s="695"/>
      <c r="J212" s="695"/>
      <c r="K212" s="695"/>
      <c r="L212" s="1036"/>
      <c r="M212" s="694"/>
      <c r="N212" s="695"/>
      <c r="O212" s="695"/>
      <c r="P212" s="695"/>
      <c r="Q212" s="695"/>
      <c r="R212" s="695"/>
      <c r="S212" s="695"/>
      <c r="T212" s="695"/>
      <c r="U212" s="694"/>
      <c r="V212" s="694"/>
      <c r="W212" s="695"/>
    </row>
    <row r="213" spans="3:23" x14ac:dyDescent="0.25">
      <c r="C213" s="695"/>
      <c r="D213" s="694"/>
      <c r="E213" s="694"/>
      <c r="F213" s="1035"/>
      <c r="G213" s="695"/>
      <c r="H213" s="695"/>
      <c r="I213" s="695"/>
      <c r="J213" s="695"/>
      <c r="K213" s="695"/>
      <c r="L213" s="1036"/>
      <c r="M213" s="694"/>
      <c r="N213" s="695"/>
      <c r="O213" s="695"/>
      <c r="P213" s="695"/>
      <c r="Q213" s="695"/>
      <c r="R213" s="695"/>
      <c r="S213" s="695"/>
      <c r="T213" s="695"/>
      <c r="U213" s="694"/>
      <c r="V213" s="694"/>
      <c r="W213" s="695"/>
    </row>
    <row r="214" spans="3:23" x14ac:dyDescent="0.25">
      <c r="C214" s="695"/>
      <c r="D214" s="694"/>
      <c r="E214" s="694"/>
      <c r="F214" s="1035"/>
      <c r="G214" s="695"/>
      <c r="H214" s="695"/>
      <c r="I214" s="695"/>
      <c r="J214" s="695"/>
      <c r="K214" s="695"/>
      <c r="L214" s="1036"/>
      <c r="M214" s="694"/>
      <c r="N214" s="695"/>
      <c r="O214" s="695"/>
      <c r="P214" s="695"/>
      <c r="Q214" s="695"/>
      <c r="R214" s="695"/>
      <c r="S214" s="695"/>
      <c r="T214" s="695"/>
      <c r="U214" s="694"/>
      <c r="V214" s="694"/>
      <c r="W214" s="695"/>
    </row>
    <row r="215" spans="3:23" x14ac:dyDescent="0.25">
      <c r="C215" s="695"/>
      <c r="D215" s="694"/>
      <c r="E215" s="694"/>
      <c r="F215" s="1035"/>
      <c r="G215" s="695"/>
      <c r="H215" s="695"/>
      <c r="I215" s="695"/>
      <c r="J215" s="695"/>
      <c r="K215" s="695"/>
      <c r="L215" s="1036"/>
      <c r="M215" s="694"/>
      <c r="N215" s="695"/>
      <c r="O215" s="695"/>
      <c r="P215" s="695"/>
      <c r="Q215" s="695"/>
      <c r="R215" s="695"/>
      <c r="S215" s="695"/>
      <c r="T215" s="695"/>
      <c r="U215" s="694"/>
      <c r="V215" s="694"/>
      <c r="W215" s="695"/>
    </row>
    <row r="216" spans="3:23" x14ac:dyDescent="0.25">
      <c r="C216" s="695"/>
      <c r="D216" s="694"/>
      <c r="E216" s="694"/>
      <c r="F216" s="1035"/>
      <c r="G216" s="695"/>
      <c r="H216" s="695"/>
      <c r="I216" s="695"/>
      <c r="J216" s="695"/>
      <c r="K216" s="695"/>
      <c r="L216" s="1036"/>
      <c r="M216" s="694"/>
      <c r="N216" s="695"/>
      <c r="O216" s="695"/>
      <c r="P216" s="695"/>
      <c r="Q216" s="695"/>
      <c r="R216" s="695"/>
      <c r="S216" s="695"/>
      <c r="T216" s="695"/>
      <c r="U216" s="694"/>
      <c r="V216" s="694"/>
      <c r="W216" s="695"/>
    </row>
    <row r="217" spans="3:23" x14ac:dyDescent="0.25">
      <c r="C217" s="695"/>
      <c r="D217" s="694"/>
      <c r="E217" s="694"/>
      <c r="F217" s="1035"/>
      <c r="G217" s="695"/>
      <c r="H217" s="695"/>
      <c r="I217" s="695"/>
      <c r="J217" s="695"/>
      <c r="K217" s="695"/>
      <c r="L217" s="1036"/>
      <c r="M217" s="694"/>
      <c r="N217" s="695"/>
      <c r="O217" s="695"/>
      <c r="P217" s="695"/>
      <c r="Q217" s="695"/>
      <c r="R217" s="695"/>
      <c r="S217" s="695"/>
      <c r="T217" s="695"/>
      <c r="U217" s="694"/>
      <c r="V217" s="694"/>
      <c r="W217" s="695"/>
    </row>
    <row r="218" spans="3:23" x14ac:dyDescent="0.25">
      <c r="C218" s="695"/>
      <c r="D218" s="694"/>
      <c r="E218" s="694"/>
      <c r="F218" s="1035"/>
      <c r="G218" s="695"/>
      <c r="H218" s="695"/>
      <c r="I218" s="695"/>
      <c r="J218" s="695"/>
      <c r="K218" s="695"/>
      <c r="L218" s="1036"/>
      <c r="M218" s="694"/>
      <c r="N218" s="695"/>
      <c r="O218" s="695"/>
      <c r="P218" s="695"/>
      <c r="Q218" s="695"/>
      <c r="R218" s="695"/>
      <c r="S218" s="695"/>
      <c r="T218" s="695"/>
      <c r="U218" s="694"/>
      <c r="V218" s="694"/>
      <c r="W218" s="695"/>
    </row>
    <row r="219" spans="3:23" x14ac:dyDescent="0.25">
      <c r="C219" s="695"/>
      <c r="D219" s="694"/>
      <c r="E219" s="694"/>
      <c r="F219" s="1035"/>
      <c r="G219" s="695"/>
      <c r="H219" s="695"/>
      <c r="I219" s="695"/>
      <c r="J219" s="695"/>
      <c r="K219" s="695"/>
      <c r="L219" s="1036"/>
      <c r="M219" s="694"/>
      <c r="N219" s="695"/>
      <c r="O219" s="695"/>
      <c r="P219" s="695"/>
      <c r="Q219" s="695"/>
      <c r="R219" s="695"/>
      <c r="S219" s="695"/>
      <c r="T219" s="695"/>
      <c r="U219" s="694"/>
      <c r="V219" s="694"/>
      <c r="W219" s="695"/>
    </row>
    <row r="220" spans="3:23" x14ac:dyDescent="0.25">
      <c r="C220" s="695"/>
      <c r="D220" s="694"/>
      <c r="E220" s="694"/>
      <c r="F220" s="1035"/>
      <c r="G220" s="695"/>
      <c r="H220" s="695"/>
      <c r="I220" s="695"/>
      <c r="J220" s="695"/>
      <c r="K220" s="695"/>
      <c r="L220" s="1036"/>
      <c r="M220" s="694"/>
      <c r="N220" s="695"/>
      <c r="O220" s="695"/>
      <c r="P220" s="695"/>
      <c r="Q220" s="695"/>
      <c r="R220" s="695"/>
      <c r="S220" s="695"/>
      <c r="T220" s="695"/>
      <c r="U220" s="694"/>
      <c r="V220" s="694"/>
      <c r="W220" s="695"/>
    </row>
    <row r="221" spans="3:23" x14ac:dyDescent="0.25">
      <c r="C221" s="695"/>
      <c r="D221" s="694"/>
      <c r="E221" s="694"/>
      <c r="F221" s="1035"/>
      <c r="G221" s="695"/>
      <c r="H221" s="695"/>
      <c r="I221" s="695"/>
      <c r="J221" s="695"/>
      <c r="K221" s="695"/>
      <c r="L221" s="1036"/>
      <c r="M221" s="694"/>
      <c r="N221" s="695"/>
      <c r="O221" s="695"/>
      <c r="P221" s="695"/>
      <c r="Q221" s="695"/>
      <c r="R221" s="695"/>
      <c r="S221" s="695"/>
      <c r="T221" s="695"/>
      <c r="U221" s="694"/>
      <c r="V221" s="694"/>
      <c r="W221" s="695"/>
    </row>
    <row r="222" spans="3:23" x14ac:dyDescent="0.25">
      <c r="C222" s="695"/>
      <c r="D222" s="694"/>
      <c r="E222" s="694"/>
      <c r="F222" s="1035"/>
      <c r="G222" s="695"/>
      <c r="H222" s="695"/>
      <c r="I222" s="695"/>
      <c r="J222" s="695"/>
      <c r="K222" s="695"/>
      <c r="L222" s="1036"/>
      <c r="M222" s="694"/>
      <c r="N222" s="695"/>
      <c r="O222" s="695"/>
      <c r="P222" s="695"/>
      <c r="Q222" s="695"/>
      <c r="R222" s="695"/>
      <c r="S222" s="695"/>
      <c r="T222" s="695"/>
      <c r="U222" s="694"/>
      <c r="V222" s="694"/>
      <c r="W222" s="695"/>
    </row>
    <row r="223" spans="3:23" x14ac:dyDescent="0.25">
      <c r="C223" s="695"/>
      <c r="D223" s="694"/>
      <c r="E223" s="694"/>
      <c r="F223" s="1035"/>
      <c r="G223" s="695"/>
      <c r="H223" s="695"/>
      <c r="I223" s="695"/>
      <c r="J223" s="695"/>
      <c r="K223" s="695"/>
      <c r="L223" s="1036"/>
      <c r="M223" s="694"/>
      <c r="N223" s="695"/>
      <c r="O223" s="695"/>
      <c r="P223" s="695"/>
      <c r="Q223" s="695"/>
      <c r="R223" s="695"/>
      <c r="S223" s="695"/>
      <c r="T223" s="695"/>
      <c r="U223" s="694"/>
      <c r="V223" s="694"/>
      <c r="W223" s="695"/>
    </row>
    <row r="224" spans="3:23" x14ac:dyDescent="0.25">
      <c r="C224" s="695"/>
      <c r="D224" s="694"/>
      <c r="E224" s="694"/>
      <c r="F224" s="1035"/>
      <c r="G224" s="695"/>
      <c r="H224" s="695"/>
      <c r="I224" s="695"/>
      <c r="J224" s="695"/>
      <c r="K224" s="695"/>
      <c r="L224" s="1036"/>
      <c r="M224" s="694"/>
      <c r="N224" s="695"/>
      <c r="O224" s="695"/>
      <c r="P224" s="695"/>
      <c r="Q224" s="695"/>
      <c r="R224" s="695"/>
      <c r="S224" s="695"/>
      <c r="T224" s="695"/>
      <c r="U224" s="694"/>
      <c r="V224" s="694"/>
      <c r="W224" s="695"/>
    </row>
    <row r="225" spans="3:23" x14ac:dyDescent="0.25">
      <c r="C225" s="695"/>
      <c r="D225" s="694"/>
      <c r="E225" s="694"/>
      <c r="F225" s="1035"/>
      <c r="G225" s="695"/>
      <c r="H225" s="695"/>
      <c r="I225" s="695"/>
      <c r="J225" s="695"/>
      <c r="K225" s="695"/>
      <c r="L225" s="1036"/>
      <c r="M225" s="694"/>
      <c r="N225" s="695"/>
      <c r="O225" s="695"/>
      <c r="P225" s="695"/>
      <c r="Q225" s="695"/>
      <c r="R225" s="695"/>
      <c r="S225" s="695"/>
      <c r="T225" s="695"/>
      <c r="U225" s="694"/>
      <c r="V225" s="694"/>
      <c r="W225" s="695"/>
    </row>
    <row r="226" spans="3:23" x14ac:dyDescent="0.25">
      <c r="C226" s="695"/>
      <c r="D226" s="694"/>
      <c r="E226" s="694"/>
      <c r="F226" s="1035"/>
      <c r="G226" s="695"/>
      <c r="H226" s="695"/>
      <c r="I226" s="695"/>
      <c r="J226" s="695"/>
      <c r="K226" s="695"/>
      <c r="L226" s="1036"/>
      <c r="M226" s="694"/>
      <c r="N226" s="695"/>
      <c r="O226" s="695"/>
      <c r="P226" s="695"/>
      <c r="Q226" s="695"/>
      <c r="R226" s="695"/>
      <c r="S226" s="695"/>
      <c r="T226" s="695"/>
      <c r="U226" s="694"/>
      <c r="V226" s="694"/>
      <c r="W226" s="695"/>
    </row>
    <row r="227" spans="3:23" x14ac:dyDescent="0.25">
      <c r="C227" s="695"/>
      <c r="D227" s="694"/>
      <c r="E227" s="694"/>
      <c r="F227" s="1035"/>
      <c r="G227" s="695"/>
      <c r="H227" s="695"/>
      <c r="I227" s="695"/>
      <c r="J227" s="695"/>
      <c r="K227" s="695"/>
      <c r="L227" s="1036"/>
      <c r="M227" s="694"/>
      <c r="N227" s="695"/>
      <c r="O227" s="695"/>
      <c r="P227" s="695"/>
      <c r="Q227" s="695"/>
      <c r="R227" s="695"/>
      <c r="S227" s="695"/>
      <c r="T227" s="695"/>
      <c r="U227" s="694"/>
      <c r="V227" s="694"/>
      <c r="W227" s="695"/>
    </row>
    <row r="228" spans="3:23" x14ac:dyDescent="0.25">
      <c r="C228" s="695"/>
      <c r="D228" s="694"/>
      <c r="E228" s="694"/>
      <c r="F228" s="1035"/>
      <c r="G228" s="695"/>
      <c r="H228" s="695"/>
      <c r="I228" s="695"/>
      <c r="J228" s="695"/>
      <c r="K228" s="695"/>
      <c r="L228" s="1036"/>
      <c r="M228" s="694"/>
      <c r="N228" s="695"/>
      <c r="O228" s="695"/>
      <c r="P228" s="695"/>
      <c r="Q228" s="695"/>
      <c r="R228" s="695"/>
      <c r="S228" s="695"/>
      <c r="T228" s="695"/>
      <c r="U228" s="694"/>
      <c r="V228" s="694"/>
      <c r="W228" s="695"/>
    </row>
    <row r="229" spans="3:23" x14ac:dyDescent="0.25">
      <c r="C229" s="695"/>
      <c r="D229" s="694"/>
      <c r="E229" s="694"/>
      <c r="F229" s="1035"/>
      <c r="G229" s="695"/>
      <c r="H229" s="695"/>
      <c r="I229" s="695"/>
      <c r="J229" s="695"/>
      <c r="K229" s="695"/>
      <c r="L229" s="1036"/>
      <c r="M229" s="694"/>
      <c r="N229" s="695"/>
      <c r="O229" s="695"/>
      <c r="P229" s="695"/>
      <c r="Q229" s="695"/>
      <c r="R229" s="695"/>
      <c r="S229" s="695"/>
      <c r="T229" s="695"/>
      <c r="U229" s="694"/>
      <c r="V229" s="694"/>
      <c r="W229" s="695"/>
    </row>
    <row r="230" spans="3:23" x14ac:dyDescent="0.25">
      <c r="C230" s="695"/>
      <c r="D230" s="694"/>
      <c r="E230" s="694"/>
      <c r="F230" s="1035"/>
      <c r="G230" s="695"/>
      <c r="H230" s="695"/>
      <c r="I230" s="695"/>
      <c r="J230" s="695"/>
      <c r="K230" s="695"/>
      <c r="L230" s="1036"/>
      <c r="M230" s="694"/>
      <c r="N230" s="695"/>
      <c r="O230" s="695"/>
      <c r="P230" s="695"/>
      <c r="Q230" s="695"/>
      <c r="R230" s="695"/>
      <c r="S230" s="695"/>
      <c r="T230" s="695"/>
      <c r="U230" s="694"/>
      <c r="V230" s="694"/>
      <c r="W230" s="695"/>
    </row>
    <row r="231" spans="3:23" x14ac:dyDescent="0.25">
      <c r="C231" s="695"/>
      <c r="D231" s="694"/>
      <c r="E231" s="694"/>
      <c r="F231" s="1035"/>
      <c r="G231" s="695"/>
      <c r="H231" s="695"/>
      <c r="I231" s="695"/>
      <c r="J231" s="695"/>
      <c r="K231" s="695"/>
      <c r="L231" s="1036"/>
      <c r="M231" s="694"/>
      <c r="N231" s="695"/>
      <c r="O231" s="695"/>
      <c r="P231" s="695"/>
      <c r="Q231" s="695"/>
      <c r="R231" s="695"/>
      <c r="S231" s="695"/>
      <c r="T231" s="695"/>
      <c r="U231" s="694"/>
      <c r="V231" s="694"/>
      <c r="W231" s="695"/>
    </row>
    <row r="232" spans="3:23" x14ac:dyDescent="0.25">
      <c r="C232" s="695"/>
      <c r="D232" s="694"/>
      <c r="E232" s="694"/>
      <c r="F232" s="1035"/>
      <c r="G232" s="695"/>
      <c r="H232" s="695"/>
      <c r="I232" s="695"/>
      <c r="J232" s="695"/>
      <c r="K232" s="695"/>
      <c r="L232" s="1036"/>
      <c r="M232" s="694"/>
      <c r="N232" s="695"/>
      <c r="O232" s="695"/>
      <c r="P232" s="695"/>
      <c r="Q232" s="695"/>
      <c r="R232" s="695"/>
      <c r="S232" s="695"/>
      <c r="T232" s="695"/>
      <c r="U232" s="694"/>
      <c r="V232" s="694"/>
      <c r="W232" s="695"/>
    </row>
    <row r="233" spans="3:23" x14ac:dyDescent="0.25">
      <c r="C233" s="695"/>
      <c r="D233" s="694"/>
      <c r="E233" s="694"/>
      <c r="F233" s="1035"/>
      <c r="G233" s="695"/>
      <c r="H233" s="695"/>
      <c r="I233" s="695"/>
      <c r="J233" s="695"/>
      <c r="K233" s="695"/>
      <c r="L233" s="1036"/>
      <c r="M233" s="694"/>
      <c r="N233" s="695"/>
      <c r="O233" s="695"/>
      <c r="P233" s="695"/>
      <c r="Q233" s="695"/>
      <c r="R233" s="695"/>
      <c r="S233" s="695"/>
      <c r="T233" s="695"/>
      <c r="U233" s="694"/>
      <c r="V233" s="694"/>
      <c r="W233" s="695"/>
    </row>
    <row r="234" spans="3:23" x14ac:dyDescent="0.25">
      <c r="C234" s="695"/>
      <c r="D234" s="694"/>
      <c r="E234" s="694"/>
      <c r="F234" s="1035"/>
      <c r="G234" s="695"/>
      <c r="H234" s="695"/>
      <c r="I234" s="695"/>
      <c r="J234" s="695"/>
      <c r="K234" s="695"/>
      <c r="L234" s="1036"/>
      <c r="M234" s="694"/>
      <c r="N234" s="695"/>
      <c r="O234" s="695"/>
      <c r="P234" s="695"/>
      <c r="Q234" s="695"/>
      <c r="R234" s="695"/>
      <c r="S234" s="695"/>
      <c r="T234" s="695"/>
      <c r="U234" s="694"/>
      <c r="V234" s="694"/>
      <c r="W234" s="695"/>
    </row>
    <row r="235" spans="3:23" x14ac:dyDescent="0.25">
      <c r="C235" s="695"/>
      <c r="D235" s="694"/>
      <c r="E235" s="694"/>
      <c r="F235" s="1035"/>
      <c r="G235" s="695"/>
      <c r="H235" s="695"/>
      <c r="I235" s="695"/>
      <c r="J235" s="695"/>
      <c r="K235" s="695"/>
      <c r="L235" s="1036"/>
      <c r="M235" s="694"/>
      <c r="N235" s="695"/>
      <c r="O235" s="695"/>
      <c r="P235" s="695"/>
      <c r="Q235" s="695"/>
      <c r="R235" s="695"/>
      <c r="S235" s="695"/>
      <c r="T235" s="695"/>
      <c r="U235" s="694"/>
      <c r="V235" s="694"/>
      <c r="W235" s="695"/>
    </row>
    <row r="236" spans="3:23" x14ac:dyDescent="0.25">
      <c r="C236" s="695"/>
      <c r="D236" s="694"/>
      <c r="E236" s="694"/>
      <c r="F236" s="1035"/>
      <c r="G236" s="695"/>
      <c r="H236" s="695"/>
      <c r="I236" s="695"/>
      <c r="J236" s="695"/>
      <c r="K236" s="695"/>
      <c r="L236" s="1036"/>
      <c r="M236" s="694"/>
      <c r="N236" s="695"/>
      <c r="O236" s="695"/>
      <c r="P236" s="695"/>
      <c r="Q236" s="695"/>
      <c r="R236" s="695"/>
      <c r="S236" s="695"/>
      <c r="T236" s="695"/>
      <c r="U236" s="694"/>
      <c r="V236" s="694"/>
      <c r="W236" s="695"/>
    </row>
    <row r="237" spans="3:23" x14ac:dyDescent="0.25">
      <c r="C237" s="695"/>
      <c r="D237" s="694"/>
      <c r="E237" s="694"/>
      <c r="F237" s="1035"/>
      <c r="G237" s="695"/>
      <c r="H237" s="695"/>
      <c r="I237" s="695"/>
      <c r="J237" s="695"/>
      <c r="K237" s="695"/>
      <c r="L237" s="1036"/>
      <c r="M237" s="694"/>
      <c r="N237" s="695"/>
      <c r="O237" s="695"/>
      <c r="P237" s="695"/>
      <c r="Q237" s="695"/>
      <c r="R237" s="695"/>
      <c r="S237" s="695"/>
      <c r="T237" s="695"/>
      <c r="U237" s="694"/>
      <c r="V237" s="694"/>
      <c r="W237" s="695"/>
    </row>
    <row r="238" spans="3:23" x14ac:dyDescent="0.25">
      <c r="C238" s="695"/>
      <c r="D238" s="694"/>
      <c r="E238" s="694"/>
      <c r="F238" s="1035"/>
      <c r="G238" s="695"/>
      <c r="H238" s="695"/>
      <c r="I238" s="695"/>
      <c r="J238" s="695"/>
      <c r="K238" s="695"/>
      <c r="L238" s="1036"/>
      <c r="M238" s="694"/>
      <c r="N238" s="695"/>
      <c r="O238" s="695"/>
      <c r="P238" s="695"/>
      <c r="Q238" s="695"/>
      <c r="R238" s="695"/>
      <c r="S238" s="695"/>
      <c r="T238" s="695"/>
      <c r="U238" s="694"/>
      <c r="V238" s="694"/>
      <c r="W238" s="695"/>
    </row>
    <row r="239" spans="3:23" x14ac:dyDescent="0.25">
      <c r="C239" s="695"/>
      <c r="D239" s="694"/>
      <c r="E239" s="694"/>
      <c r="F239" s="1035"/>
      <c r="G239" s="695"/>
      <c r="H239" s="695"/>
      <c r="I239" s="695"/>
      <c r="J239" s="695"/>
      <c r="K239" s="695"/>
      <c r="L239" s="1036"/>
      <c r="M239" s="694"/>
      <c r="N239" s="695"/>
      <c r="O239" s="695"/>
      <c r="P239" s="695"/>
      <c r="Q239" s="695"/>
      <c r="R239" s="695"/>
      <c r="S239" s="695"/>
      <c r="T239" s="695"/>
      <c r="U239" s="694"/>
      <c r="V239" s="694"/>
      <c r="W239" s="695"/>
    </row>
    <row r="240" spans="3:23" x14ac:dyDescent="0.25">
      <c r="C240" s="695"/>
      <c r="D240" s="694"/>
      <c r="E240" s="694"/>
      <c r="F240" s="1035"/>
      <c r="G240" s="695"/>
      <c r="H240" s="695"/>
      <c r="I240" s="695"/>
      <c r="J240" s="695"/>
      <c r="K240" s="695"/>
      <c r="L240" s="1036"/>
      <c r="M240" s="694"/>
      <c r="N240" s="695"/>
      <c r="O240" s="695"/>
      <c r="P240" s="695"/>
      <c r="Q240" s="695"/>
      <c r="R240" s="695"/>
      <c r="S240" s="695"/>
      <c r="T240" s="695"/>
      <c r="U240" s="694"/>
      <c r="V240" s="694"/>
      <c r="W240" s="695"/>
    </row>
    <row r="241" spans="3:23" x14ac:dyDescent="0.25">
      <c r="C241" s="695"/>
      <c r="D241" s="694"/>
      <c r="E241" s="694"/>
      <c r="F241" s="1035"/>
      <c r="G241" s="695"/>
      <c r="H241" s="695"/>
      <c r="I241" s="695"/>
      <c r="J241" s="695"/>
      <c r="K241" s="695"/>
      <c r="L241" s="1036"/>
      <c r="M241" s="694"/>
      <c r="N241" s="695"/>
      <c r="O241" s="695"/>
      <c r="P241" s="695"/>
      <c r="Q241" s="695"/>
      <c r="R241" s="695"/>
      <c r="S241" s="695"/>
      <c r="T241" s="695"/>
      <c r="U241" s="694"/>
      <c r="V241" s="694"/>
      <c r="W241" s="695"/>
    </row>
    <row r="242" spans="3:23" x14ac:dyDescent="0.25">
      <c r="C242" s="695"/>
      <c r="D242" s="694"/>
      <c r="E242" s="694"/>
      <c r="F242" s="1035"/>
      <c r="G242" s="695"/>
      <c r="H242" s="695"/>
      <c r="I242" s="695"/>
      <c r="J242" s="695"/>
      <c r="K242" s="695"/>
      <c r="L242" s="1036"/>
      <c r="M242" s="694"/>
      <c r="N242" s="695"/>
      <c r="O242" s="695"/>
      <c r="P242" s="695"/>
      <c r="Q242" s="695"/>
      <c r="R242" s="695"/>
      <c r="S242" s="695"/>
      <c r="T242" s="695"/>
      <c r="U242" s="694"/>
      <c r="V242" s="694"/>
      <c r="W242" s="695"/>
    </row>
    <row r="243" spans="3:23" x14ac:dyDescent="0.25">
      <c r="C243" s="695"/>
      <c r="D243" s="694"/>
      <c r="E243" s="694"/>
      <c r="F243" s="1035"/>
      <c r="G243" s="695"/>
      <c r="H243" s="695"/>
      <c r="I243" s="695"/>
      <c r="J243" s="695"/>
      <c r="K243" s="695"/>
      <c r="L243" s="1036"/>
      <c r="M243" s="694"/>
      <c r="N243" s="695"/>
      <c r="O243" s="695"/>
      <c r="P243" s="695"/>
      <c r="Q243" s="695"/>
      <c r="R243" s="695"/>
      <c r="S243" s="695"/>
      <c r="T243" s="695"/>
      <c r="U243" s="694"/>
      <c r="V243" s="694"/>
      <c r="W243" s="695"/>
    </row>
    <row r="244" spans="3:23" x14ac:dyDescent="0.25">
      <c r="C244" s="695"/>
      <c r="D244" s="694"/>
      <c r="E244" s="694"/>
      <c r="F244" s="1035"/>
      <c r="G244" s="695"/>
      <c r="H244" s="695"/>
      <c r="I244" s="695"/>
      <c r="J244" s="695"/>
      <c r="K244" s="695"/>
      <c r="L244" s="1036"/>
      <c r="M244" s="694"/>
      <c r="N244" s="695"/>
      <c r="O244" s="695"/>
      <c r="P244" s="695"/>
      <c r="Q244" s="695"/>
      <c r="R244" s="695"/>
      <c r="S244" s="695"/>
      <c r="T244" s="695"/>
      <c r="U244" s="694"/>
      <c r="V244" s="694"/>
      <c r="W244" s="695"/>
    </row>
    <row r="245" spans="3:23" x14ac:dyDescent="0.25">
      <c r="C245" s="695"/>
      <c r="D245" s="694"/>
      <c r="E245" s="694"/>
      <c r="F245" s="1035"/>
      <c r="G245" s="695"/>
      <c r="H245" s="695"/>
      <c r="I245" s="695"/>
      <c r="J245" s="695"/>
      <c r="K245" s="695"/>
      <c r="L245" s="1036"/>
      <c r="M245" s="694"/>
      <c r="N245" s="695"/>
      <c r="O245" s="695"/>
      <c r="P245" s="695"/>
      <c r="Q245" s="695"/>
      <c r="R245" s="695"/>
      <c r="S245" s="695"/>
      <c r="T245" s="695"/>
      <c r="U245" s="694"/>
      <c r="V245" s="694"/>
      <c r="W245" s="695"/>
    </row>
    <row r="246" spans="3:23" x14ac:dyDescent="0.25">
      <c r="C246" s="695"/>
      <c r="D246" s="694"/>
      <c r="E246" s="694"/>
      <c r="F246" s="1035"/>
      <c r="G246" s="695"/>
      <c r="H246" s="695"/>
      <c r="I246" s="695"/>
      <c r="J246" s="695"/>
      <c r="K246" s="695"/>
      <c r="L246" s="1036"/>
      <c r="M246" s="694"/>
      <c r="N246" s="695"/>
      <c r="O246" s="695"/>
      <c r="P246" s="695"/>
      <c r="Q246" s="695"/>
      <c r="R246" s="695"/>
      <c r="S246" s="695"/>
      <c r="T246" s="695"/>
      <c r="U246" s="694"/>
      <c r="V246" s="694"/>
      <c r="W246" s="695"/>
    </row>
    <row r="247" spans="3:23" x14ac:dyDescent="0.25">
      <c r="C247" s="695"/>
      <c r="D247" s="694"/>
      <c r="E247" s="694"/>
      <c r="F247" s="1035"/>
      <c r="G247" s="695"/>
      <c r="H247" s="695"/>
      <c r="I247" s="695"/>
      <c r="J247" s="695"/>
      <c r="K247" s="695"/>
      <c r="L247" s="1036"/>
      <c r="M247" s="694"/>
      <c r="N247" s="695"/>
      <c r="O247" s="695"/>
      <c r="P247" s="695"/>
      <c r="Q247" s="695"/>
      <c r="R247" s="695"/>
      <c r="S247" s="695"/>
      <c r="T247" s="695"/>
      <c r="U247" s="694"/>
      <c r="V247" s="694"/>
      <c r="W247" s="695"/>
    </row>
    <row r="248" spans="3:23" x14ac:dyDescent="0.25">
      <c r="C248" s="695"/>
      <c r="D248" s="694"/>
      <c r="E248" s="694"/>
      <c r="F248" s="1035"/>
      <c r="G248" s="695"/>
      <c r="H248" s="695"/>
      <c r="I248" s="695"/>
      <c r="J248" s="695"/>
      <c r="K248" s="695"/>
      <c r="L248" s="1036"/>
      <c r="M248" s="694"/>
      <c r="N248" s="695"/>
      <c r="O248" s="695"/>
      <c r="P248" s="695"/>
      <c r="Q248" s="695"/>
      <c r="R248" s="695"/>
      <c r="S248" s="695"/>
      <c r="T248" s="695"/>
      <c r="U248" s="694"/>
      <c r="V248" s="694"/>
      <c r="W248" s="695"/>
    </row>
    <row r="249" spans="3:23" x14ac:dyDescent="0.25">
      <c r="C249" s="695"/>
      <c r="D249" s="694"/>
      <c r="E249" s="694"/>
      <c r="F249" s="1035"/>
      <c r="G249" s="695"/>
      <c r="H249" s="695"/>
      <c r="I249" s="695"/>
      <c r="J249" s="695"/>
      <c r="K249" s="695"/>
      <c r="L249" s="1036"/>
      <c r="M249" s="694"/>
      <c r="N249" s="695"/>
      <c r="O249" s="695"/>
      <c r="P249" s="695"/>
      <c r="Q249" s="695"/>
      <c r="R249" s="695"/>
      <c r="S249" s="695"/>
      <c r="T249" s="695"/>
      <c r="U249" s="694"/>
      <c r="V249" s="694"/>
      <c r="W249" s="695"/>
    </row>
    <row r="250" spans="3:23" x14ac:dyDescent="0.25">
      <c r="C250" s="695"/>
      <c r="D250" s="694"/>
      <c r="E250" s="694"/>
      <c r="F250" s="1035"/>
      <c r="G250" s="695"/>
      <c r="H250" s="695"/>
      <c r="I250" s="695"/>
      <c r="J250" s="695"/>
      <c r="K250" s="695"/>
      <c r="L250" s="1036"/>
      <c r="M250" s="694"/>
      <c r="N250" s="695"/>
      <c r="O250" s="695"/>
      <c r="P250" s="695"/>
      <c r="Q250" s="695"/>
      <c r="R250" s="695"/>
      <c r="S250" s="695"/>
      <c r="T250" s="695"/>
      <c r="U250" s="694"/>
      <c r="V250" s="694"/>
      <c r="W250" s="695"/>
    </row>
    <row r="251" spans="3:23" x14ac:dyDescent="0.25">
      <c r="C251" s="695"/>
      <c r="D251" s="694"/>
      <c r="E251" s="694"/>
      <c r="F251" s="1035"/>
      <c r="G251" s="695"/>
      <c r="H251" s="695"/>
      <c r="I251" s="695"/>
      <c r="J251" s="695"/>
      <c r="K251" s="695"/>
      <c r="L251" s="1036"/>
      <c r="M251" s="694"/>
      <c r="N251" s="695"/>
      <c r="O251" s="695"/>
      <c r="P251" s="695"/>
      <c r="Q251" s="695"/>
      <c r="R251" s="695"/>
      <c r="S251" s="695"/>
      <c r="T251" s="695"/>
      <c r="U251" s="694"/>
      <c r="V251" s="694"/>
      <c r="W251" s="695"/>
    </row>
    <row r="252" spans="3:23" x14ac:dyDescent="0.25">
      <c r="C252" s="695"/>
      <c r="D252" s="694"/>
      <c r="E252" s="694"/>
      <c r="F252" s="1035"/>
      <c r="G252" s="695"/>
      <c r="H252" s="695"/>
      <c r="I252" s="695"/>
      <c r="J252" s="695"/>
      <c r="K252" s="695"/>
      <c r="L252" s="1036"/>
      <c r="M252" s="694"/>
      <c r="N252" s="695"/>
      <c r="O252" s="695"/>
      <c r="P252" s="695"/>
      <c r="Q252" s="695"/>
      <c r="R252" s="695"/>
      <c r="S252" s="695"/>
      <c r="T252" s="695"/>
      <c r="U252" s="694"/>
      <c r="V252" s="694"/>
      <c r="W252" s="695"/>
    </row>
    <row r="253" spans="3:23" x14ac:dyDescent="0.25">
      <c r="C253" s="695"/>
      <c r="D253" s="694"/>
      <c r="E253" s="694"/>
      <c r="F253" s="1035"/>
      <c r="G253" s="695"/>
      <c r="H253" s="695"/>
      <c r="I253" s="695"/>
      <c r="J253" s="695"/>
      <c r="K253" s="695"/>
      <c r="L253" s="1036"/>
      <c r="M253" s="694"/>
      <c r="N253" s="695"/>
      <c r="O253" s="695"/>
      <c r="P253" s="695"/>
      <c r="Q253" s="695"/>
      <c r="R253" s="695"/>
      <c r="S253" s="695"/>
      <c r="T253" s="695"/>
      <c r="U253" s="694"/>
      <c r="V253" s="694"/>
      <c r="W253" s="695"/>
    </row>
    <row r="254" spans="3:23" x14ac:dyDescent="0.25">
      <c r="C254" s="695"/>
      <c r="D254" s="694"/>
      <c r="E254" s="694"/>
      <c r="F254" s="1035"/>
      <c r="G254" s="695"/>
      <c r="H254" s="695"/>
      <c r="I254" s="695"/>
      <c r="J254" s="695"/>
      <c r="K254" s="695"/>
      <c r="L254" s="1036"/>
      <c r="M254" s="694"/>
      <c r="N254" s="695"/>
      <c r="O254" s="695"/>
      <c r="P254" s="695"/>
      <c r="Q254" s="695"/>
      <c r="R254" s="695"/>
      <c r="S254" s="695"/>
      <c r="T254" s="695"/>
      <c r="U254" s="694"/>
      <c r="V254" s="694"/>
      <c r="W254" s="695"/>
    </row>
    <row r="255" spans="3:23" x14ac:dyDescent="0.25">
      <c r="C255" s="695"/>
      <c r="D255" s="694"/>
      <c r="E255" s="694"/>
      <c r="F255" s="1035"/>
      <c r="G255" s="695"/>
      <c r="H255" s="695"/>
      <c r="I255" s="695"/>
      <c r="J255" s="695"/>
      <c r="K255" s="695"/>
      <c r="L255" s="1036"/>
      <c r="M255" s="694"/>
      <c r="N255" s="695"/>
      <c r="O255" s="695"/>
      <c r="P255" s="695"/>
      <c r="Q255" s="695"/>
      <c r="R255" s="695"/>
      <c r="S255" s="695"/>
      <c r="T255" s="695"/>
      <c r="U255" s="694"/>
      <c r="V255" s="694"/>
      <c r="W255" s="695"/>
    </row>
    <row r="256" spans="3:23" x14ac:dyDescent="0.25">
      <c r="C256" s="695"/>
      <c r="D256" s="694"/>
      <c r="E256" s="694"/>
      <c r="F256" s="1035"/>
      <c r="G256" s="695"/>
      <c r="H256" s="695"/>
      <c r="I256" s="695"/>
      <c r="J256" s="695"/>
      <c r="K256" s="695"/>
      <c r="L256" s="1036"/>
      <c r="M256" s="694"/>
      <c r="N256" s="695"/>
      <c r="O256" s="695"/>
      <c r="P256" s="695"/>
      <c r="Q256" s="695"/>
      <c r="R256" s="695"/>
      <c r="S256" s="695"/>
      <c r="T256" s="695"/>
      <c r="U256" s="694"/>
      <c r="V256" s="694"/>
      <c r="W256" s="695"/>
    </row>
    <row r="257" spans="3:23" x14ac:dyDescent="0.25">
      <c r="C257" s="695"/>
      <c r="D257" s="694"/>
      <c r="E257" s="694"/>
      <c r="F257" s="1035"/>
      <c r="G257" s="695"/>
      <c r="H257" s="695"/>
      <c r="I257" s="695"/>
      <c r="J257" s="695"/>
      <c r="K257" s="695"/>
      <c r="L257" s="1036"/>
      <c r="M257" s="694"/>
      <c r="N257" s="695"/>
      <c r="O257" s="695"/>
      <c r="P257" s="695"/>
      <c r="Q257" s="695"/>
      <c r="R257" s="695"/>
      <c r="S257" s="695"/>
      <c r="T257" s="695"/>
      <c r="U257" s="694"/>
      <c r="V257" s="694"/>
      <c r="W257" s="695"/>
    </row>
    <row r="258" spans="3:23" x14ac:dyDescent="0.25">
      <c r="C258" s="695"/>
      <c r="E258" s="694"/>
      <c r="F258" s="1035"/>
      <c r="G258" s="695"/>
      <c r="H258" s="695"/>
      <c r="I258" s="695"/>
      <c r="J258" s="695"/>
      <c r="K258" s="695"/>
      <c r="L258" s="1036"/>
      <c r="M258" s="694"/>
      <c r="N258" s="695"/>
      <c r="O258" s="695"/>
    </row>
  </sheetData>
  <mergeCells count="57">
    <mergeCell ref="B53:D53"/>
    <mergeCell ref="F4:I4"/>
    <mergeCell ref="Q8:U8"/>
    <mergeCell ref="AN45:AO45"/>
    <mergeCell ref="A31:D31"/>
    <mergeCell ref="AN38:AO38"/>
    <mergeCell ref="AN35:AO35"/>
    <mergeCell ref="AN39:AO39"/>
    <mergeCell ref="AN40:AO40"/>
    <mergeCell ref="AN42:AO42"/>
    <mergeCell ref="AN43:AO43"/>
    <mergeCell ref="AN44:AO44"/>
    <mergeCell ref="AN36:AO36"/>
    <mergeCell ref="AN37:AO37"/>
    <mergeCell ref="AN41:AO41"/>
    <mergeCell ref="AH33:AL33"/>
    <mergeCell ref="G54:H54"/>
    <mergeCell ref="AN33:AO33"/>
    <mergeCell ref="V32:W32"/>
    <mergeCell ref="AH48:AL48"/>
    <mergeCell ref="S48:T48"/>
    <mergeCell ref="O48:Q48"/>
    <mergeCell ref="AN34:AO34"/>
    <mergeCell ref="V33:W33"/>
    <mergeCell ref="B28:C28"/>
    <mergeCell ref="A30:E30"/>
    <mergeCell ref="J32:O32"/>
    <mergeCell ref="A32:D32"/>
    <mergeCell ref="J33:O33"/>
    <mergeCell ref="B49:C49"/>
    <mergeCell ref="E33:F33"/>
    <mergeCell ref="B48:D48"/>
    <mergeCell ref="J47:O47"/>
    <mergeCell ref="C33:D33"/>
    <mergeCell ref="B47:D47"/>
    <mergeCell ref="AH31:AK31"/>
    <mergeCell ref="AG11:AH11"/>
    <mergeCell ref="AH30:AK30"/>
    <mergeCell ref="AF28:AH28"/>
    <mergeCell ref="F28:I28"/>
    <mergeCell ref="N28:O28"/>
    <mergeCell ref="Z28:AD28"/>
    <mergeCell ref="AC26:AD26"/>
    <mergeCell ref="AA11:AC11"/>
    <mergeCell ref="C11:D11"/>
    <mergeCell ref="AI27:AJ27"/>
    <mergeCell ref="J10:O10"/>
    <mergeCell ref="J27:O27"/>
    <mergeCell ref="AA9:AD9"/>
    <mergeCell ref="J11:O11"/>
    <mergeCell ref="AA10:AD10"/>
    <mergeCell ref="R10:S10"/>
    <mergeCell ref="R11:S11"/>
    <mergeCell ref="B27:D27"/>
    <mergeCell ref="E11:F11"/>
    <mergeCell ref="A9:D9"/>
    <mergeCell ref="A11:B11"/>
  </mergeCells>
  <conditionalFormatting sqref="R35:R45">
    <cfRule type="colorScale" priority="10">
      <colorScale>
        <cfvo type="percent" val="0"/>
        <cfvo type="percent" val="100"/>
        <color rgb="FF92D050"/>
        <color rgb="FF00B0F0"/>
      </colorScale>
    </cfRule>
    <cfRule type="colorScale" priority="11">
      <colorScale>
        <cfvo type="percent" val="0"/>
        <cfvo type="max"/>
        <color rgb="FF92D050"/>
        <color rgb="FF0070C0"/>
      </colorScale>
    </cfRule>
    <cfRule type="colorScale" priority="12">
      <colorScale>
        <cfvo type="percent" val="0"/>
        <cfvo type="percent" val="100"/>
        <color rgb="FF92D050"/>
        <color rgb="FFFFEF9C"/>
      </colorScale>
    </cfRule>
  </conditionalFormatting>
  <conditionalFormatting sqref="R35:R45">
    <cfRule type="colorScale" priority="6">
      <colorScale>
        <cfvo type="percent" val="0"/>
        <cfvo type="percentile" val="50"/>
        <cfvo type="percent" val="100"/>
        <color rgb="FF00B0F0"/>
        <color rgb="FFFFEB84"/>
        <color rgb="FFFFFF00"/>
      </colorScale>
    </cfRule>
    <cfRule type="colorScale" priority="7">
      <colorScale>
        <cfvo type="percent" val="0"/>
        <cfvo type="percentile" val="50"/>
        <cfvo type="percent" val="100"/>
        <color rgb="FFF8696B"/>
        <color rgb="FFFFEB84"/>
        <color rgb="FF63BE7B"/>
      </colorScale>
    </cfRule>
    <cfRule type="colorScale" priority="8">
      <colorScale>
        <cfvo type="percent" val="0"/>
        <cfvo type="percent" val="100"/>
        <color rgb="FF92D050"/>
        <color rgb="FF00FFFF"/>
      </colorScale>
    </cfRule>
  </conditionalFormatting>
  <conditionalFormatting sqref="R36">
    <cfRule type="colorScale" priority="9">
      <colorScale>
        <cfvo type="percent" val="0"/>
        <cfvo type="percent" val="100"/>
        <color rgb="FF92D050"/>
        <color rgb="FFFF5050"/>
      </colorScale>
    </cfRule>
  </conditionalFormatting>
  <conditionalFormatting sqref="AN35:AO45">
    <cfRule type="colorScale" priority="3">
      <colorScale>
        <cfvo type="num" val="$AM$35"/>
        <cfvo type="max"/>
        <color rgb="FFFF7128"/>
        <color rgb="FFFFEF9C"/>
      </colorScale>
    </cfRule>
    <cfRule type="colorScale" priority="4">
      <colorScale>
        <cfvo type="num" val="0"/>
        <cfvo type="max"/>
        <color rgb="FFFF3300"/>
        <color rgb="FF00B050"/>
      </colorScale>
    </cfRule>
  </conditionalFormatting>
  <conditionalFormatting sqref="B47:D47">
    <cfRule type="expression" dxfId="23" priority="1">
      <formula>$D$49 &lt;&gt;$D$46</formula>
    </cfRule>
  </conditionalFormatting>
  <conditionalFormatting sqref="B27:D27">
    <cfRule type="expression" dxfId="22" priority="41">
      <formula xml:space="preserve"> $D$28 &lt;&gt;$D$26</formula>
    </cfRule>
  </conditionalFormatting>
  <dataValidations count="8">
    <dataValidation type="list" allowBlank="1" showInputMessage="1" showErrorMessage="1" sqref="O45 T46 Q13:Q26 Q35:Q45">
      <formula1>TVA</formula1>
    </dataValidation>
    <dataValidation type="list" allowBlank="1" showInputMessage="1" showErrorMessage="1" sqref="I13:I25 I35:I45">
      <formula1>appelation</formula1>
    </dataValidation>
    <dataValidation type="list" allowBlank="1" showInputMessage="1" showErrorMessage="1" sqref="R35:R45">
      <formula1>TVAréduit</formula1>
    </dataValidation>
    <dataValidation type="list" allowBlank="1" showInputMessage="1" showErrorMessage="1" sqref="F13:F25 F35:F45">
      <formula1>IF(COUNTIF(Plan20,F13)=0,Plan20,OFFSET(Plan10,1,MATCH(F13,Plan20,0)-1,COUNTA(OFFSET(Plan10,,MATCH(F13,Plan20,0)-1))-1))</formula1>
    </dataValidation>
    <dataValidation type="list" allowBlank="1" showInputMessage="1" showErrorMessage="1" sqref="G13:G25 G35:G45">
      <formula1>appelation2</formula1>
    </dataValidation>
    <dataValidation type="list" allowBlank="1" showInputMessage="1" showErrorMessage="1" sqref="H13:H25">
      <formula1>paiementnouv</formula1>
    </dataValidation>
    <dataValidation type="list" allowBlank="1" showInputMessage="1" showErrorMessage="1" sqref="D67:D68 E68">
      <formula1>AVANCETVA</formula1>
    </dataValidation>
    <dataValidation type="list" allowBlank="1" showInputMessage="1" showErrorMessage="1" sqref="G55:G66 D55:D65">
      <formula1>TRANSFERT</formula1>
    </dataValidation>
  </dataValidations>
  <pageMargins left="0.25" right="0.25" top="0.75" bottom="0.75" header="0.3" footer="0.3"/>
  <pageSetup paperSize="9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Feuil2!$Q$2:$Q$23</xm:f>
          </x14:formula1>
          <xm:sqref>H35:H47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C1610"/>
  <sheetViews>
    <sheetView tabSelected="1" topLeftCell="A122" zoomScale="85" zoomScaleNormal="85" workbookViewId="0">
      <selection activeCell="C128" sqref="C128"/>
    </sheetView>
  </sheetViews>
  <sheetFormatPr baseColWidth="10" defaultColWidth="11.44140625" defaultRowHeight="13.8" x14ac:dyDescent="0.25"/>
  <cols>
    <col min="1" max="1" width="3.6640625" style="1087" customWidth="1"/>
    <col min="2" max="2" width="3.44140625" style="1087" customWidth="1"/>
    <col min="3" max="3" width="12.44140625" style="1087" customWidth="1"/>
    <col min="4" max="4" width="12.88671875" style="1087" customWidth="1"/>
    <col min="5" max="5" width="3.109375" style="1087" customWidth="1"/>
    <col min="6" max="6" width="2.44140625" style="1087" customWidth="1"/>
    <col min="7" max="7" width="3.33203125" style="1087" customWidth="1"/>
    <col min="8" max="8" width="11.44140625" style="1087" customWidth="1"/>
    <col min="9" max="9" width="13.33203125" style="1087" customWidth="1"/>
    <col min="10" max="10" width="3.44140625" style="1087" customWidth="1"/>
    <col min="11" max="11" width="2.6640625" style="1087" customWidth="1"/>
    <col min="12" max="12" width="3.33203125" style="1081" customWidth="1"/>
    <col min="13" max="13" width="11.33203125" style="1087" customWidth="1"/>
    <col min="14" max="14" width="13.33203125" style="1087" customWidth="1"/>
    <col min="15" max="15" width="4.109375" style="1087" customWidth="1"/>
    <col min="16" max="16" width="4.5546875" style="1087" customWidth="1"/>
    <col min="17" max="17" width="10.5546875" style="1087" customWidth="1"/>
    <col min="18" max="18" width="3" style="1087" customWidth="1"/>
    <col min="19" max="19" width="2.6640625" style="1087" customWidth="1"/>
    <col min="20" max="20" width="3.5546875" style="1087" customWidth="1"/>
    <col min="21" max="21" width="14.5546875" style="1136" customWidth="1"/>
    <col min="22" max="22" width="14.88671875" style="1087" customWidth="1"/>
    <col min="23" max="23" width="3" style="1087" customWidth="1"/>
    <col min="24" max="24" width="3.33203125" style="1087" customWidth="1"/>
    <col min="25" max="25" width="3.109375" style="1087" customWidth="1"/>
    <col min="26" max="26" width="13.5546875" style="1087" customWidth="1"/>
    <col min="27" max="27" width="13.77734375" style="1087" customWidth="1"/>
    <col min="28" max="29" width="2.44140625" style="1087" customWidth="1"/>
    <col min="30" max="30" width="3" style="1087" customWidth="1"/>
    <col min="31" max="31" width="11.77734375" style="1087" customWidth="1"/>
    <col min="32" max="32" width="10.21875" style="1087" customWidth="1"/>
    <col min="33" max="33" width="3.21875" style="1087" customWidth="1"/>
    <col min="34" max="34" width="4.109375" style="1087" customWidth="1"/>
    <col min="35" max="35" width="2.88671875" style="1087" customWidth="1"/>
    <col min="36" max="36" width="14.5546875" style="1087" customWidth="1"/>
    <col min="37" max="37" width="14.88671875" style="1087" customWidth="1"/>
    <col min="38" max="38" width="4" style="1087" customWidth="1"/>
    <col min="39" max="39" width="3.33203125" style="1087" customWidth="1"/>
    <col min="40" max="40" width="4" style="1087" customWidth="1"/>
    <col min="41" max="41" width="11.44140625" style="1087"/>
    <col min="42" max="42" width="13.109375" style="1087" customWidth="1"/>
    <col min="43" max="43" width="3.109375" style="1087" customWidth="1"/>
    <col min="44" max="44" width="1.44140625" style="1087" customWidth="1"/>
    <col min="45" max="45" width="2.88671875" style="1087" customWidth="1"/>
    <col min="46" max="47" width="11.44140625" style="1087"/>
    <col min="48" max="48" width="2.88671875" style="1087" customWidth="1"/>
    <col min="49" max="49" width="1.6640625" style="1087" customWidth="1"/>
    <col min="50" max="50" width="3.109375" style="1087" customWidth="1"/>
    <col min="51" max="52" width="11.44140625" style="1087"/>
    <col min="53" max="53" width="2.5546875" style="1087" customWidth="1"/>
    <col min="54" max="16384" width="11.44140625" style="1087"/>
  </cols>
  <sheetData>
    <row r="1" spans="1:42" ht="14.4" thickBot="1" x14ac:dyDescent="0.3"/>
    <row r="2" spans="1:42" ht="18" thickTop="1" x14ac:dyDescent="0.25">
      <c r="E2" s="4064" t="s">
        <v>2339</v>
      </c>
      <c r="F2" s="4064"/>
      <c r="G2" s="4064"/>
      <c r="H2" s="4064"/>
      <c r="I2" s="4064"/>
      <c r="J2" s="4064"/>
      <c r="S2" s="3643"/>
      <c r="T2" s="3646"/>
      <c r="U2" s="3793"/>
      <c r="V2" s="3646"/>
      <c r="W2" s="3646"/>
      <c r="X2" s="3646"/>
      <c r="Y2" s="3646"/>
      <c r="Z2" s="3646"/>
      <c r="AA2" s="3646"/>
      <c r="AB2" s="3646"/>
      <c r="AC2" s="3646"/>
      <c r="AD2" s="3646"/>
      <c r="AE2" s="3646"/>
      <c r="AF2" s="3646"/>
      <c r="AG2" s="3646"/>
      <c r="AH2" s="1565"/>
    </row>
    <row r="3" spans="1:42" ht="10.95" customHeight="1" thickBot="1" x14ac:dyDescent="0.3">
      <c r="B3" s="2235"/>
      <c r="C3" s="3679" t="s">
        <v>169</v>
      </c>
      <c r="D3" s="3678" t="s">
        <v>2339</v>
      </c>
      <c r="E3" s="3677"/>
      <c r="F3" s="3677"/>
      <c r="G3" s="3677"/>
      <c r="H3" s="3680" t="s">
        <v>1627</v>
      </c>
      <c r="I3" s="3678" t="s">
        <v>2339</v>
      </c>
      <c r="J3" s="1081"/>
      <c r="K3" s="1201"/>
      <c r="L3" s="1072"/>
      <c r="M3" s="526" t="s">
        <v>1647</v>
      </c>
      <c r="N3" s="3678" t="s">
        <v>2339</v>
      </c>
      <c r="O3" s="1166"/>
      <c r="P3" s="1166"/>
      <c r="Q3" s="2243"/>
      <c r="R3" s="2243"/>
      <c r="S3" s="3651"/>
      <c r="T3" s="2858"/>
      <c r="U3" s="2859"/>
      <c r="V3" s="4034" t="s">
        <v>2387</v>
      </c>
      <c r="W3" s="4034"/>
      <c r="X3" s="4034"/>
      <c r="Y3" s="4034"/>
      <c r="Z3" s="4034"/>
      <c r="AA3" s="4034"/>
      <c r="AB3" s="4034"/>
      <c r="AC3" s="4034"/>
      <c r="AD3" s="4034"/>
      <c r="AE3" s="2809"/>
      <c r="AF3" s="2809"/>
      <c r="AG3" s="2809"/>
      <c r="AH3" s="3784"/>
      <c r="AI3" s="2807"/>
    </row>
    <row r="4" spans="1:42" s="1070" customFormat="1" ht="10.95" customHeight="1" x14ac:dyDescent="0.3">
      <c r="A4" s="1087"/>
      <c r="B4" s="4055" t="s">
        <v>1993</v>
      </c>
      <c r="C4" s="4056"/>
      <c r="D4" s="4057" t="s">
        <v>2216</v>
      </c>
      <c r="E4" s="4058"/>
      <c r="F4" s="2489"/>
      <c r="G4" s="2529"/>
      <c r="H4" s="3805" t="s">
        <v>1993</v>
      </c>
      <c r="I4" s="3805" t="s">
        <v>2216</v>
      </c>
      <c r="J4" s="2530"/>
      <c r="K4" s="2531"/>
      <c r="L4" s="1104"/>
      <c r="M4" s="3473" t="s">
        <v>1993</v>
      </c>
      <c r="N4" s="3473" t="s">
        <v>2216</v>
      </c>
      <c r="O4" s="2492"/>
      <c r="P4" s="1171"/>
      <c r="Q4" s="2243"/>
      <c r="R4" s="2243"/>
      <c r="S4" s="2164"/>
      <c r="T4" s="4036" t="s">
        <v>1990</v>
      </c>
      <c r="U4" s="4037"/>
      <c r="V4" s="4036" t="s">
        <v>1989</v>
      </c>
      <c r="W4" s="4037"/>
      <c r="X4" s="2860"/>
      <c r="Y4" s="4036" t="s">
        <v>1990</v>
      </c>
      <c r="Z4" s="4037"/>
      <c r="AA4" s="4036" t="s">
        <v>1989</v>
      </c>
      <c r="AB4" s="4037"/>
      <c r="AC4" s="2529"/>
      <c r="AD4" s="4036" t="s">
        <v>1990</v>
      </c>
      <c r="AE4" s="4037"/>
      <c r="AF4" s="4036" t="s">
        <v>1989</v>
      </c>
      <c r="AG4" s="4037"/>
      <c r="AH4" s="3794"/>
      <c r="AI4" s="2861"/>
    </row>
    <row r="5" spans="1:42" s="1070" customFormat="1" ht="10.95" customHeight="1" thickBot="1" x14ac:dyDescent="0.35">
      <c r="A5" s="1087"/>
      <c r="B5" s="4055" t="s">
        <v>2521</v>
      </c>
      <c r="C5" s="4056"/>
      <c r="D5" s="4059" t="s">
        <v>2345</v>
      </c>
      <c r="E5" s="4060"/>
      <c r="F5" s="2493"/>
      <c r="G5" s="2532"/>
      <c r="H5" s="3806" t="s">
        <v>1994</v>
      </c>
      <c r="I5" s="3806" t="s">
        <v>2345</v>
      </c>
      <c r="J5" s="2532"/>
      <c r="K5" s="2531"/>
      <c r="L5" s="1104"/>
      <c r="M5" s="3474" t="s">
        <v>1994</v>
      </c>
      <c r="N5" s="3474" t="s">
        <v>2345</v>
      </c>
      <c r="O5" s="2504"/>
      <c r="P5" s="2473"/>
      <c r="Q5" s="2243"/>
      <c r="R5" s="2243"/>
      <c r="S5" s="2164"/>
      <c r="T5" s="4038" t="s">
        <v>1991</v>
      </c>
      <c r="U5" s="4039"/>
      <c r="V5" s="4112" t="s">
        <v>2371</v>
      </c>
      <c r="W5" s="4113"/>
      <c r="X5" s="2862"/>
      <c r="Y5" s="4038" t="s">
        <v>1991</v>
      </c>
      <c r="Z5" s="4039"/>
      <c r="AA5" s="4112" t="s">
        <v>2371</v>
      </c>
      <c r="AB5" s="4113"/>
      <c r="AC5" s="2863"/>
      <c r="AD5" s="4038" t="s">
        <v>1991</v>
      </c>
      <c r="AE5" s="4039"/>
      <c r="AF5" s="4112" t="s">
        <v>2371</v>
      </c>
      <c r="AG5" s="4113"/>
      <c r="AH5" s="3794"/>
      <c r="AI5" s="2861"/>
    </row>
    <row r="6" spans="1:42" s="1070" customFormat="1" ht="10.95" customHeight="1" thickBot="1" x14ac:dyDescent="0.35">
      <c r="A6" s="1087"/>
      <c r="B6" s="3619"/>
      <c r="C6" s="4063" t="s">
        <v>2470</v>
      </c>
      <c r="D6" s="4063"/>
      <c r="E6" s="3620"/>
      <c r="F6" s="2533"/>
      <c r="G6" s="2534"/>
      <c r="H6" s="4025" t="s">
        <v>2471</v>
      </c>
      <c r="I6" s="4025"/>
      <c r="J6" s="2534"/>
      <c r="K6" s="2534"/>
      <c r="L6" s="2494"/>
      <c r="M6" s="4025" t="s">
        <v>2472</v>
      </c>
      <c r="N6" s="4025"/>
      <c r="O6" s="2494"/>
      <c r="Q6" s="2243"/>
      <c r="R6" s="2243"/>
      <c r="S6" s="2164"/>
      <c r="T6" s="4007" t="s">
        <v>2321</v>
      </c>
      <c r="U6" s="4008"/>
      <c r="V6" s="4007" t="s">
        <v>2322</v>
      </c>
      <c r="W6" s="4008"/>
      <c r="X6" s="2864"/>
      <c r="Y6" s="4007" t="s">
        <v>2323</v>
      </c>
      <c r="Z6" s="4008"/>
      <c r="AA6" s="4007" t="s">
        <v>2324</v>
      </c>
      <c r="AB6" s="4008"/>
      <c r="AC6" s="2864"/>
      <c r="AD6" s="4007" t="s">
        <v>2325</v>
      </c>
      <c r="AE6" s="4008"/>
      <c r="AF6" s="4007" t="s">
        <v>2326</v>
      </c>
      <c r="AG6" s="4008"/>
      <c r="AH6" s="3794"/>
      <c r="AI6" s="2861"/>
      <c r="AP6" s="141"/>
    </row>
    <row r="7" spans="1:42" s="1070" customFormat="1" ht="10.95" customHeight="1" thickBot="1" x14ac:dyDescent="0.35">
      <c r="A7" s="1087"/>
      <c r="B7" s="2496"/>
      <c r="C7" s="2485" t="s">
        <v>3</v>
      </c>
      <c r="D7" s="3481" t="s">
        <v>2308</v>
      </c>
      <c r="E7" s="2535"/>
      <c r="F7" s="2500"/>
      <c r="G7" s="2529"/>
      <c r="H7" s="2536" t="s">
        <v>3</v>
      </c>
      <c r="I7" s="2529" t="s">
        <v>2309</v>
      </c>
      <c r="J7" s="2529"/>
      <c r="K7" s="2529"/>
      <c r="L7" s="2496"/>
      <c r="M7" s="2536" t="s">
        <v>3</v>
      </c>
      <c r="N7" s="4013" t="s">
        <v>2310</v>
      </c>
      <c r="O7" s="4014"/>
      <c r="P7" s="2467"/>
      <c r="Q7" s="2243"/>
      <c r="R7" s="2243"/>
      <c r="S7" s="2164"/>
      <c r="T7" s="4030" t="s">
        <v>217</v>
      </c>
      <c r="U7" s="4031"/>
      <c r="V7" s="4032" t="s">
        <v>216</v>
      </c>
      <c r="W7" s="4033"/>
      <c r="X7" s="2865"/>
      <c r="Y7" s="2529"/>
      <c r="Z7" s="2537"/>
      <c r="AA7" s="2537"/>
      <c r="AB7" s="2529"/>
      <c r="AC7" s="2529"/>
      <c r="AD7" s="2529"/>
      <c r="AE7" s="2529"/>
      <c r="AF7" s="2529"/>
      <c r="AG7" s="2529"/>
      <c r="AH7" s="3794"/>
      <c r="AI7" s="2861"/>
      <c r="AP7" s="141"/>
    </row>
    <row r="8" spans="1:42" s="1070" customFormat="1" ht="10.95" customHeight="1" thickTop="1" thickBot="1" x14ac:dyDescent="0.35">
      <c r="A8" s="1087"/>
      <c r="B8" s="2495"/>
      <c r="C8" s="3609">
        <v>400</v>
      </c>
      <c r="D8" s="3610" t="s">
        <v>2293</v>
      </c>
      <c r="E8" s="2485"/>
      <c r="F8" s="2485"/>
      <c r="G8" s="2537"/>
      <c r="H8" s="2537">
        <v>400</v>
      </c>
      <c r="I8" s="2538" t="s">
        <v>2294</v>
      </c>
      <c r="J8" s="2539"/>
      <c r="K8" s="2540"/>
      <c r="L8" s="2541"/>
      <c r="M8" s="2537">
        <v>400</v>
      </c>
      <c r="N8" s="2538" t="s">
        <v>2295</v>
      </c>
      <c r="O8" s="2511"/>
      <c r="P8" s="2482"/>
      <c r="Q8" s="2243"/>
      <c r="R8" s="2243"/>
      <c r="S8" s="2164"/>
      <c r="T8" s="2866"/>
      <c r="U8" s="2867" t="s">
        <v>3</v>
      </c>
      <c r="V8" s="2868" t="s">
        <v>214</v>
      </c>
      <c r="W8" s="2529"/>
      <c r="X8" s="2869"/>
      <c r="Y8" s="2529" t="s">
        <v>1681</v>
      </c>
      <c r="Z8" s="2868" t="s">
        <v>214</v>
      </c>
      <c r="AA8" s="2529"/>
      <c r="AB8" s="2529"/>
      <c r="AC8" s="2529"/>
      <c r="AD8" s="2529" t="s">
        <v>1682</v>
      </c>
      <c r="AE8" s="2868" t="s">
        <v>214</v>
      </c>
      <c r="AF8" s="2529"/>
      <c r="AG8" s="2870"/>
      <c r="AH8" s="3794"/>
      <c r="AI8" s="2861"/>
      <c r="AP8" s="141"/>
    </row>
    <row r="9" spans="1:42" s="1070" customFormat="1" ht="10.95" customHeight="1" thickTop="1" thickBot="1" x14ac:dyDescent="0.35">
      <c r="A9" s="1087"/>
      <c r="B9" s="2497" t="s">
        <v>186</v>
      </c>
      <c r="C9" s="3480" t="s">
        <v>2337</v>
      </c>
      <c r="D9" s="3468" t="s">
        <v>169</v>
      </c>
      <c r="E9" s="2498" t="s">
        <v>185</v>
      </c>
      <c r="F9" s="2486"/>
      <c r="G9" s="2542" t="s">
        <v>186</v>
      </c>
      <c r="H9" s="2679" t="s">
        <v>2337</v>
      </c>
      <c r="I9" s="2491" t="s">
        <v>2312</v>
      </c>
      <c r="J9" s="2543" t="s">
        <v>185</v>
      </c>
      <c r="K9" s="2540"/>
      <c r="L9" s="2513" t="s">
        <v>186</v>
      </c>
      <c r="M9" s="2680" t="s">
        <v>2337</v>
      </c>
      <c r="N9" s="2590" t="s">
        <v>1647</v>
      </c>
      <c r="O9" s="2509" t="s">
        <v>185</v>
      </c>
      <c r="P9" s="2483"/>
      <c r="Q9" s="2243"/>
      <c r="R9" s="2243"/>
      <c r="S9" s="2164"/>
      <c r="T9" s="2871"/>
      <c r="U9" s="3763" t="s">
        <v>2381</v>
      </c>
      <c r="V9" s="2872">
        <v>440</v>
      </c>
      <c r="W9" s="2529"/>
      <c r="X9" s="2869"/>
      <c r="Y9" s="2529"/>
      <c r="Z9" s="3763" t="s">
        <v>2382</v>
      </c>
      <c r="AA9" s="2872">
        <v>440</v>
      </c>
      <c r="AB9" s="2529"/>
      <c r="AC9" s="2529"/>
      <c r="AD9" s="2529"/>
      <c r="AE9" s="3763" t="s">
        <v>2383</v>
      </c>
      <c r="AF9" s="2872">
        <v>440</v>
      </c>
      <c r="AG9" s="2870"/>
      <c r="AH9" s="3794"/>
      <c r="AI9" s="2861"/>
      <c r="AP9" s="141"/>
    </row>
    <row r="10" spans="1:42" s="1070" customFormat="1" ht="10.95" customHeight="1" thickBot="1" x14ac:dyDescent="0.35">
      <c r="A10" s="1087"/>
      <c r="B10" s="1218" t="s">
        <v>207</v>
      </c>
      <c r="C10" s="3470">
        <f>IF(ISNA(VLOOKUP($C$9,'VAL-INIT'!$D$4:$F$90,3,FALSE)),,VLOOKUP($C$9,'VAL-INIT'!$D$4:$F$90,3,FALSE))</f>
        <v>6250</v>
      </c>
      <c r="D10" s="1186" t="s">
        <v>206</v>
      </c>
      <c r="E10" s="1187"/>
      <c r="F10" s="1162"/>
      <c r="G10" s="1185" t="s">
        <v>207</v>
      </c>
      <c r="H10" s="3471" t="s">
        <v>2418</v>
      </c>
      <c r="I10" s="1220" t="s">
        <v>206</v>
      </c>
      <c r="J10" s="1221"/>
      <c r="K10" s="1130"/>
      <c r="L10" s="1218" t="s">
        <v>207</v>
      </c>
      <c r="M10" s="3471" t="s">
        <v>2418</v>
      </c>
      <c r="N10" s="1186" t="s">
        <v>206</v>
      </c>
      <c r="O10" s="1187"/>
      <c r="P10" s="1171"/>
      <c r="Q10" s="2490"/>
      <c r="R10" s="2243"/>
      <c r="S10" s="2164"/>
      <c r="T10" s="2873" t="s">
        <v>195</v>
      </c>
      <c r="U10" s="2874">
        <v>440</v>
      </c>
      <c r="V10" s="3464" t="s">
        <v>2369</v>
      </c>
      <c r="W10" s="2556" t="s">
        <v>193</v>
      </c>
      <c r="X10" s="2809"/>
      <c r="Y10" s="2529" t="s">
        <v>195</v>
      </c>
      <c r="Z10" s="2876">
        <v>440</v>
      </c>
      <c r="AA10" s="2875" t="s">
        <v>2369</v>
      </c>
      <c r="AB10" s="2542" t="s">
        <v>193</v>
      </c>
      <c r="AC10" s="2809"/>
      <c r="AD10" s="2529" t="s">
        <v>195</v>
      </c>
      <c r="AE10" s="2876">
        <v>440</v>
      </c>
      <c r="AF10" s="2875" t="s">
        <v>2369</v>
      </c>
      <c r="AG10" s="2877" t="s">
        <v>193</v>
      </c>
      <c r="AH10" s="3794"/>
      <c r="AI10" s="2861"/>
      <c r="AP10" s="141"/>
    </row>
    <row r="11" spans="1:42" s="1070" customFormat="1" ht="10.95" customHeight="1" x14ac:dyDescent="0.3">
      <c r="A11" s="1087"/>
      <c r="B11" s="2917" t="s">
        <v>16</v>
      </c>
      <c r="C11" s="2475">
        <f>IF(AND(   'Val-Dép'!H13="Bq Client-1an", 'Val-Dép'!I13&lt;&gt;"note de crédit"),VLOOKUP('Val-Dép'!H13,'Val-Dép'!H13:Y13,18,FALSE ),"0")</f>
        <v>0</v>
      </c>
      <c r="D11" s="2476">
        <f>IF(AND( 'Val-Dép'!AE13="400/550", 'Val-Dép'!I13&lt;&gt;"note de crédit"),VLOOKUP('Val-Dép'!AE13,'Val-Dép'!AE13:AF13,2,FALSE ),"0")</f>
        <v>0</v>
      </c>
      <c r="E11" s="1171"/>
      <c r="F11" s="1162"/>
      <c r="G11" s="1168"/>
      <c r="H11" s="1223" t="str">
        <f>IF(AND(   'Val-Dép'!H13="Bq post client-1an", 'Val-Dép'!I13&lt;&gt;"note de crédit"),VLOOKUP('Val-Dép'!I13,'Val-Dép'!I13:Z13,14,FALSE ),"0")</f>
        <v>0</v>
      </c>
      <c r="I11" s="1223" t="str">
        <f>IF(AND( 'Val-Dép'!AE13="400/560", 'Val-Dép'!I13&lt;&gt;"note de crédit"),VLOOKUP('Val-Dép'!AE13,'Val-Dép'!AE13:AF13,2,FALSE ),"0")</f>
        <v>0</v>
      </c>
      <c r="J11" s="1225"/>
      <c r="K11" s="1130"/>
      <c r="L11" s="1222"/>
      <c r="M11" s="1223" t="str">
        <f>IF(AND(   'Val-Dép'!H13="Caisse client-1an", 'Val-Dép'!I13&lt;&gt;"note de crédit"),VLOOKUP('Val-Dép'!S13,'Val-Dép'!S13:AJ13,14,FALSE ),"0")</f>
        <v>0</v>
      </c>
      <c r="N11" s="1224" t="str">
        <f>IF(AND( 'Val-Dép'!AE13="400/570", 'Val-Dép'!I13&lt;&gt;"note de crédit"),VLOOKUP('Val-Dép'!AE13,'Val-Dép'!AE13:AF13,2,FALSE ),"0")</f>
        <v>0</v>
      </c>
      <c r="O11" s="1171"/>
      <c r="P11" s="1171"/>
      <c r="Q11" s="2240"/>
      <c r="R11" s="2240"/>
      <c r="S11" s="2164"/>
      <c r="T11" s="2878"/>
      <c r="U11" s="3795" t="s">
        <v>2421</v>
      </c>
      <c r="V11" s="3486">
        <f>IF(ISNA(VLOOKUP($V$10,'VAL-INIT'!$J$4:$L$63,3,FALSE)),,VLOOKUP($V$10,'VAL-INIT'!$J$4:$L$63,3,FALSE))</f>
        <v>5750</v>
      </c>
      <c r="W11" s="2880" t="s">
        <v>1643</v>
      </c>
      <c r="X11" s="2881"/>
      <c r="Y11" s="2882"/>
      <c r="Z11" s="3736" t="s">
        <v>2419</v>
      </c>
      <c r="AA11" s="2883" t="s">
        <v>2420</v>
      </c>
      <c r="AB11" s="2884"/>
      <c r="AC11" s="2884"/>
      <c r="AD11" s="2884"/>
      <c r="AE11" s="3736" t="s">
        <v>2419</v>
      </c>
      <c r="AF11" s="3809" t="s">
        <v>2420</v>
      </c>
      <c r="AG11" s="2885"/>
      <c r="AH11" s="3794"/>
      <c r="AI11" s="2861"/>
      <c r="AP11" s="141"/>
    </row>
    <row r="12" spans="1:42" s="1070" customFormat="1" ht="10.95" customHeight="1" x14ac:dyDescent="0.3">
      <c r="A12" s="1087"/>
      <c r="B12" s="2917" t="s">
        <v>17</v>
      </c>
      <c r="C12" s="2475" t="str">
        <f>IF(AND(   'Val-Dép'!H14="Bq Client-1an", 'Val-Dép'!I14&lt;&gt;"note de crédit"),VLOOKUP('Val-Dép'!H14,'Val-Dép'!H14:Y14,18,FALSE ),"0")</f>
        <v>0</v>
      </c>
      <c r="D12" s="2476" t="str">
        <f>IF(AND( 'Val-Dép'!AE14="400/550", 'Val-Dép'!I14&lt;&gt;"note de crédit"),VLOOKUP('Val-Dép'!AE14,'Val-Dép'!AE14:AF14,2,FALSE ),"0")</f>
        <v>0</v>
      </c>
      <c r="E12" s="1081"/>
      <c r="F12" s="1162"/>
      <c r="G12" s="1081"/>
      <c r="H12" s="1223" t="str">
        <f>IF(AND(   'Val-Dép'!H14="Bq post client-1an", 'Val-Dép'!I14&lt;&gt;"note de crédit"),VLOOKUP('Val-Dép'!I14,'Val-Dép'!I14:Z14,14,FALSE ),"0")</f>
        <v>0</v>
      </c>
      <c r="I12" s="1223" t="str">
        <f>IF(AND( 'Val-Dép'!AE14="400/560", 'Val-Dép'!I14&lt;&gt;"note de crédit"),VLOOKUP('Val-Dép'!AE14,'Val-Dép'!AE14:AF14,2,FALSE ),"0")</f>
        <v>0</v>
      </c>
      <c r="J12" s="1225"/>
      <c r="K12" s="1130"/>
      <c r="L12" s="1222"/>
      <c r="M12" s="1223" t="str">
        <f>IF(AND(   'Val-Dép'!H14="Caisse client-1an", 'Val-Dép'!I14&lt;&gt;"note de crédit"),VLOOKUP('Val-Dép'!S14,'Val-Dép'!S14:AJ14,14,FALSE ),"0")</f>
        <v>0</v>
      </c>
      <c r="N12" s="1224" t="str">
        <f>IF(AND( 'Val-Dép'!AE14="400/570", 'Val-Dép'!I14&lt;&gt;"note de crédit"),VLOOKUP('Val-Dép'!AE14,'Val-Dép'!AE14:AF14,2,FALSE ),"0")</f>
        <v>0</v>
      </c>
      <c r="O12" s="1081"/>
      <c r="P12" s="1081"/>
      <c r="Q12" s="2242"/>
      <c r="R12" s="2242"/>
      <c r="S12" s="2164"/>
      <c r="T12" s="3700">
        <v>1</v>
      </c>
      <c r="U12" s="2887">
        <f>IF(AND( 'Val-Dép'!AL35="440/550", 'Val-Dép'!I35&lt;&gt;"note de crédit"),VLOOKUP('Val-Dép'!AL35,'Val-Dép'!AL35:AM35,2,FALSE ),"0")</f>
        <v>0</v>
      </c>
      <c r="V12" s="3722">
        <f>IF(AND( 'Val-Dép'!H35="Bq fournis-1an", 'Val-Dép'!I35&lt;&gt;"note de crédit"),VLOOKUP('Val-Dép'!H35,'Val-Dép'!H35:AM35,21,FALSE ),"0")</f>
        <v>750</v>
      </c>
      <c r="W12" s="3716"/>
      <c r="X12" s="2881"/>
      <c r="Y12" s="2888"/>
      <c r="Z12" s="3705" t="str">
        <f>IF(AND( 'Val-Dép'!AL35="440/560", 'Val-Dép'!I35&lt;&gt;"note de crédit"),VLOOKUP('Val-Dép'!AL35,'Val-Dép'!AL35:AM35,2,FALSE ),"0")</f>
        <v>0</v>
      </c>
      <c r="AA12" s="3715" t="str">
        <f>IF(AND( 'Val-Dép'!H35="Bq post fournis-1an", 'Val-Dép'!I35&lt;&gt;"note de crédit"),VLOOKUP('Val-Dép'!H35,'Val-Dép'!H35:AM35,21,FALSE ),"0")</f>
        <v>0</v>
      </c>
      <c r="AB12" s="3716"/>
      <c r="AC12" s="2884"/>
      <c r="AD12" s="2888"/>
      <c r="AE12" s="3814" t="str">
        <f>IF(AND( 'Val-Dép'!AL35="440/570", 'Val-Dép'!I35&lt;&gt;"note de crédit"),VLOOKUP('Val-Dép'!AL35,'Val-Dép'!AL35:AM35,2,FALSE ),"0")</f>
        <v>0</v>
      </c>
      <c r="AF12" s="3709" t="str">
        <f>IF(AND( 'Val-Dép'!H35="Caisse fournis-1an", 'Val-Dép'!I35&lt;&gt;"note de crédit"),VLOOKUP('Val-Dép'!H35,'Val-Dép'!H35:AM35,21,FALSE ),"0")</f>
        <v>0</v>
      </c>
      <c r="AG12" s="3710"/>
      <c r="AH12" s="3794"/>
      <c r="AI12" s="2861"/>
      <c r="AP12" s="141"/>
    </row>
    <row r="13" spans="1:42" ht="10.95" customHeight="1" x14ac:dyDescent="0.25">
      <c r="B13" s="2917" t="s">
        <v>239</v>
      </c>
      <c r="C13" s="2475" t="str">
        <f>IF(AND(   'Val-Dép'!H15="Bq Client-1an", 'Val-Dép'!I15&lt;&gt;"note de crédit"),VLOOKUP('Val-Dép'!H15,'Val-Dép'!H15:Y15,18,FALSE ),"0")</f>
        <v>0</v>
      </c>
      <c r="D13" s="2476" t="str">
        <f>IF(AND( 'Val-Dép'!AE15="400/550", 'Val-Dép'!I15&lt;&gt;"note de crédit"),VLOOKUP('Val-Dép'!AE15,'Val-Dép'!AE15:AF15,2,FALSE ),"0")</f>
        <v>0</v>
      </c>
      <c r="E13" s="1171"/>
      <c r="F13" s="1162"/>
      <c r="G13" s="1081"/>
      <c r="H13" s="1223" t="str">
        <f>IF(AND(   'Val-Dép'!H15="Bq post client-1an", 'Val-Dép'!I15&lt;&gt;"note de crédit"),VLOOKUP('Val-Dép'!I15,'Val-Dép'!I15:Z15,14,FALSE ),"0")</f>
        <v>0</v>
      </c>
      <c r="I13" s="1223" t="str">
        <f>IF(AND( 'Val-Dép'!AE15="400/560", 'Val-Dép'!I15&lt;&gt;"note de crédit"),VLOOKUP('Val-Dép'!AE15,'Val-Dép'!AE15:AF15,2,FALSE ),"0")</f>
        <v>0</v>
      </c>
      <c r="J13" s="1225"/>
      <c r="K13" s="1130"/>
      <c r="L13" s="1222"/>
      <c r="M13" s="1223" t="str">
        <f>IF(AND(   'Val-Dép'!H15="Caisse client-1an", 'Val-Dép'!I15&lt;&gt;"note de crédit"),VLOOKUP('Val-Dép'!S15,'Val-Dép'!S15:AJ15,14,FALSE ),"0")</f>
        <v>0</v>
      </c>
      <c r="N13" s="1224" t="str">
        <f>IF(AND( 'Val-Dép'!AE15="400/570", 'Val-Dép'!I15&lt;&gt;"note de crédit"),VLOOKUP('Val-Dép'!AE15,'Val-Dép'!AE15:AF15,2,FALSE ),"0")</f>
        <v>0</v>
      </c>
      <c r="O13" s="1171"/>
      <c r="P13" s="1171"/>
      <c r="Q13" s="2240"/>
      <c r="R13" s="2240"/>
      <c r="S13" s="1464"/>
      <c r="T13" s="2886"/>
      <c r="U13" s="2887">
        <f>IF(AND( 'Val-Dép'!AL36="440/550", 'Val-Dép'!I36&lt;&gt;"note de crédit"),VLOOKUP('Val-Dép'!AL36,'Val-Dép'!AL36:AM36,2,FALSE ),"0")</f>
        <v>0</v>
      </c>
      <c r="V13" s="3717">
        <f>IF(AND( 'Val-Dép'!H36="Bq fournis-1an", 'Val-Dép'!I36&lt;&gt;"note de crédit"),VLOOKUP('Val-Dép'!H36,'Val-Dép'!H36:AM36,21,FALSE ),"0")</f>
        <v>5000</v>
      </c>
      <c r="W13" s="3718"/>
      <c r="X13" s="2881"/>
      <c r="Y13" s="2888"/>
      <c r="Z13" s="3706" t="str">
        <f>IF(AND( 'Val-Dép'!AL36="440/560", 'Val-Dép'!I36&lt;&gt;"note de crédit"),VLOOKUP('Val-Dép'!AL36,'Val-Dép'!AL36:AM36,2,FALSE ),"0")</f>
        <v>0</v>
      </c>
      <c r="AA13" s="3717" t="str">
        <f>IF(AND( 'Val-Dép'!H36="Bq post fournis-1an", 'Val-Dép'!I36&lt;&gt;"note de crédit"),VLOOKUP('Val-Dép'!H36,'Val-Dép'!H36:AM36,21,FALSE ),"0")</f>
        <v>0</v>
      </c>
      <c r="AB13" s="3718"/>
      <c r="AC13" s="2884"/>
      <c r="AD13" s="2888"/>
      <c r="AE13" s="3814" t="str">
        <f>IF(AND( 'Val-Dép'!AL36="440/570", 'Val-Dép'!I36&lt;&gt;"note de crédit"),VLOOKUP('Val-Dép'!AL36,'Val-Dép'!AL36:AM36,2,FALSE ),"0")</f>
        <v>0</v>
      </c>
      <c r="AF13" s="3711" t="str">
        <f>IF(AND( 'Val-Dép'!H36="Caisse fournis-1an", 'Val-Dép'!I36&lt;&gt;"note de crédit"),VLOOKUP('Val-Dép'!H36,'Val-Dép'!H36:AM36,21,FALSE ),"0")</f>
        <v>0</v>
      </c>
      <c r="AG13" s="3712"/>
      <c r="AH13" s="3784"/>
      <c r="AI13" s="2807"/>
      <c r="AP13" s="141"/>
    </row>
    <row r="14" spans="1:42" ht="10.95" customHeight="1" x14ac:dyDescent="0.25">
      <c r="B14" s="2917" t="s">
        <v>240</v>
      </c>
      <c r="C14" s="2475" t="str">
        <f>IF(AND(   'Val-Dép'!H16="Bq Client-1an", 'Val-Dép'!I16&lt;&gt;"note de crédit"),VLOOKUP('Val-Dép'!H16,'Val-Dép'!H16:Y16,18,FALSE ),"0")</f>
        <v>0</v>
      </c>
      <c r="D14" s="2476" t="str">
        <f>IF(AND( 'Val-Dép'!AE16="400/550", 'Val-Dép'!I16&lt;&gt;"note de crédit"),VLOOKUP('Val-Dép'!AE16,'Val-Dép'!AE16:AF16,2,FALSE ),"0")</f>
        <v>0</v>
      </c>
      <c r="E14" s="1171"/>
      <c r="F14" s="1162"/>
      <c r="G14" s="1081"/>
      <c r="H14" s="1223" t="str">
        <f>IF(AND(   'Val-Dép'!H16="Bq post client-1an", 'Val-Dép'!I16&lt;&gt;"note de crédit"),VLOOKUP('Val-Dép'!I16,'Val-Dép'!I16:Z16,14,FALSE ),"0")</f>
        <v>0</v>
      </c>
      <c r="I14" s="1223" t="str">
        <f>IF(AND( 'Val-Dép'!AE16="400/560", 'Val-Dép'!I16&lt;&gt;"note de crédit"),VLOOKUP('Val-Dép'!AE16,'Val-Dép'!AE16:AF16,2,FALSE ),"0")</f>
        <v>0</v>
      </c>
      <c r="J14" s="1225"/>
      <c r="K14" s="1130"/>
      <c r="L14" s="1222"/>
      <c r="M14" s="1223" t="str">
        <f>IF(AND(   'Val-Dép'!H16="Caisse client-1an", 'Val-Dép'!I16&lt;&gt;"note de crédit"),VLOOKUP('Val-Dép'!S16,'Val-Dép'!S16:AJ16,14,FALSE ),"0")</f>
        <v>0</v>
      </c>
      <c r="N14" s="1224" t="str">
        <f>IF(AND( 'Val-Dép'!AE16="400/570", 'Val-Dép'!I16&lt;&gt;"note de crédit"),VLOOKUP('Val-Dép'!AE16,'Val-Dép'!AE16:AF16,2,FALSE ),"0")</f>
        <v>0</v>
      </c>
      <c r="O14" s="1171"/>
      <c r="P14" s="1171"/>
      <c r="Q14" s="2240"/>
      <c r="R14" s="2240"/>
      <c r="S14" s="1464"/>
      <c r="T14" s="3700">
        <v>4</v>
      </c>
      <c r="U14" s="2887" t="str">
        <f>IF(AND( 'Val-Dép'!AL37="440/550", 'Val-Dép'!I37&lt;&gt;"note de crédit"),VLOOKUP('Val-Dép'!AL37,'Val-Dép'!AL37:AM37,2,FALSE ),"0")</f>
        <v>0</v>
      </c>
      <c r="V14" s="3717" t="str">
        <f>IF(AND( 'Val-Dép'!H37="Bq fournis-1an", 'Val-Dép'!I37&lt;&gt;"note de crédit"),VLOOKUP('Val-Dép'!H37,'Val-Dép'!H37:AM37,21,FALSE ),"0")</f>
        <v>0</v>
      </c>
      <c r="W14" s="3718"/>
      <c r="X14" s="2891"/>
      <c r="Y14" s="2888"/>
      <c r="Z14" s="3706" t="str">
        <f>IF(AND( 'Val-Dép'!AL37="440/560", 'Val-Dép'!I37&lt;&gt;"note de crédit"),VLOOKUP('Val-Dép'!AL37,'Val-Dép'!AL37:AM37,2,FALSE ),"0")</f>
        <v>0</v>
      </c>
      <c r="AA14" s="3717" t="str">
        <f>IF(AND( 'Val-Dép'!H37="Bq post fournis-1an", 'Val-Dép'!I37&lt;&gt;"note de crédit"),VLOOKUP('Val-Dép'!H37,'Val-Dép'!H37:AM37,21,FALSE ),"0")</f>
        <v>0</v>
      </c>
      <c r="AB14" s="3718"/>
      <c r="AC14" s="2884"/>
      <c r="AD14" s="2888"/>
      <c r="AE14" s="3814" t="str">
        <f>IF(AND( 'Val-Dép'!AL37="440/570", 'Val-Dép'!I37&lt;&gt;"note de crédit"),VLOOKUP('Val-Dép'!AL37,'Val-Dép'!AL37:AM37,2,FALSE ),"0")</f>
        <v>0</v>
      </c>
      <c r="AF14" s="3711" t="str">
        <f>IF(AND( 'Val-Dép'!H37="Caisse fournis-1an", 'Val-Dép'!I37&lt;&gt;"note de crédit"),VLOOKUP('Val-Dép'!H37,'Val-Dép'!H37:AM37,21,FALSE ),"0")</f>
        <v>0</v>
      </c>
      <c r="AG14" s="3712"/>
      <c r="AH14" s="3784"/>
      <c r="AI14" s="2807"/>
      <c r="AP14" s="141"/>
    </row>
    <row r="15" spans="1:42" ht="10.95" customHeight="1" x14ac:dyDescent="0.25">
      <c r="B15" s="2917" t="s">
        <v>241</v>
      </c>
      <c r="C15" s="2475" t="str">
        <f>IF(AND(   'Val-Dép'!H17="Bq Client-1an", 'Val-Dép'!I17&lt;&gt;"note de crédit"),VLOOKUP('Val-Dép'!H17,'Val-Dép'!H17:Y17,18,FALSE ),"0")</f>
        <v>0</v>
      </c>
      <c r="D15" s="2476" t="str">
        <f>IF(AND( 'Val-Dép'!AE17="400/550", 'Val-Dép'!I17&lt;&gt;"note de crédit"),VLOOKUP('Val-Dép'!AE17,'Val-Dép'!AE17:AF17,2,FALSE ),"0")</f>
        <v>0</v>
      </c>
      <c r="E15" s="1228"/>
      <c r="F15" s="1162"/>
      <c r="G15" s="1081"/>
      <c r="H15" s="1223" t="str">
        <f>IF(AND(   'Val-Dép'!H17="Bq post client-1an", 'Val-Dép'!I17&lt;&gt;"note de crédit"),VLOOKUP('Val-Dép'!I17,'Val-Dép'!I17:Z17,14,FALSE ),"0")</f>
        <v>0</v>
      </c>
      <c r="I15" s="1223" t="str">
        <f>IF(AND( 'Val-Dép'!AE17="400/560", 'Val-Dép'!I17&lt;&gt;"note de crédit"),VLOOKUP('Val-Dép'!AE17,'Val-Dép'!AE17:AF17,2,FALSE ),"0")</f>
        <v>0</v>
      </c>
      <c r="J15" s="1225"/>
      <c r="K15" s="1229"/>
      <c r="L15" s="1222"/>
      <c r="M15" s="1223" t="str">
        <f>IF(AND(   'Val-Dép'!H17="Caisse client-1an", 'Val-Dép'!I17&lt;&gt;"note de crédit"),VLOOKUP('Val-Dép'!S17,'Val-Dép'!S17:AJ17,14,FALSE ),"0")</f>
        <v>0</v>
      </c>
      <c r="N15" s="1224" t="str">
        <f>IF(AND( 'Val-Dép'!AE17="400/570", 'Val-Dép'!I17&lt;&gt;"note de crédit"),VLOOKUP('Val-Dép'!AE17,'Val-Dép'!AE17:AF17,2,FALSE ),"0")</f>
        <v>0</v>
      </c>
      <c r="O15" s="1228"/>
      <c r="P15" s="1228"/>
      <c r="Q15" s="2240"/>
      <c r="R15" s="2240"/>
      <c r="S15" s="1464"/>
      <c r="T15" s="2886"/>
      <c r="U15" s="2887" t="str">
        <f>IF(AND( 'Val-Dép'!AL38="440/550", 'Val-Dép'!I38&lt;&gt;"note de crédit"),VLOOKUP('Val-Dép'!AL38,'Val-Dép'!AL38:AM38,2,FALSE ),"0")</f>
        <v>0</v>
      </c>
      <c r="V15" s="3717" t="str">
        <f>IF(AND( 'Val-Dép'!H38="Bq fournis-1an", 'Val-Dép'!I38&lt;&gt;"note de crédit"),VLOOKUP('Val-Dép'!H38,'Val-Dép'!H38:AM38,21,FALSE ),"0")</f>
        <v>0</v>
      </c>
      <c r="W15" s="3718"/>
      <c r="X15" s="2891"/>
      <c r="Y15" s="2888"/>
      <c r="Z15" s="3706" t="str">
        <f>IF(AND( 'Val-Dép'!AL38="440/560", 'Val-Dép'!I38&lt;&gt;"note de crédit"),VLOOKUP('Val-Dép'!AL38,'Val-Dép'!AL38:AM38,2,FALSE ),"0")</f>
        <v>0</v>
      </c>
      <c r="AA15" s="3717" t="str">
        <f>IF(AND( 'Val-Dép'!H38="Bq post fournis-1an", 'Val-Dép'!I38&lt;&gt;"note de crédit"),VLOOKUP('Val-Dép'!H38,'Val-Dép'!H38:AM38,21,FALSE ),"0")</f>
        <v>0</v>
      </c>
      <c r="AB15" s="3718"/>
      <c r="AC15" s="2884"/>
      <c r="AD15" s="2888"/>
      <c r="AE15" s="3814" t="str">
        <f>IF(AND( 'Val-Dép'!AL38="440/570", 'Val-Dép'!I38&lt;&gt;"note de crédit"),VLOOKUP('Val-Dép'!AL38,'Val-Dép'!AL38:AM38,2,FALSE ),"0")</f>
        <v>0</v>
      </c>
      <c r="AF15" s="3711" t="str">
        <f>IF(AND( 'Val-Dép'!H38="Caisse fournis-1an", 'Val-Dép'!I38&lt;&gt;"note de crédit"),VLOOKUP('Val-Dép'!H38,'Val-Dép'!H38:AM38,21,FALSE ),"0")</f>
        <v>0</v>
      </c>
      <c r="AG15" s="3712">
        <v>6</v>
      </c>
      <c r="AH15" s="3784"/>
      <c r="AI15" s="2807"/>
      <c r="AP15" s="141"/>
    </row>
    <row r="16" spans="1:42" ht="10.95" customHeight="1" x14ac:dyDescent="0.3">
      <c r="B16" s="2917" t="s">
        <v>242</v>
      </c>
      <c r="C16" s="2475" t="str">
        <f>IF(AND(   'Val-Dép'!H18="Bq Client-1an", 'Val-Dép'!I18&lt;&gt;"note de crédit"),VLOOKUP('Val-Dép'!H18,'Val-Dép'!H18:Y18,18,FALSE ),"0")</f>
        <v>0</v>
      </c>
      <c r="D16" s="2476" t="str">
        <f>IF(AND( 'Val-Dép'!AE18="400/550", 'Val-Dép'!I18&lt;&gt;"note de crédit"),VLOOKUP('Val-Dép'!AE18,'Val-Dép'!AE18:AF18,2,FALSE ),"0")</f>
        <v>0</v>
      </c>
      <c r="E16" s="1231"/>
      <c r="F16" s="1232"/>
      <c r="G16" s="1081"/>
      <c r="H16" s="1223" t="str">
        <f>IF(AND(   'Val-Dép'!H18="Bq post client-1an", 'Val-Dép'!I18&lt;&gt;"note de crédit"),VLOOKUP('Val-Dép'!I18,'Val-Dép'!I18:Z18,14,FALSE ),"0")</f>
        <v>0</v>
      </c>
      <c r="I16" s="1223" t="str">
        <f>IF(AND( 'Val-Dép'!AE18="400/560", 'Val-Dép'!I18&lt;&gt;"note de crédit"),VLOOKUP('Val-Dép'!AE18,'Val-Dép'!AE18:AF18,2,FALSE ),"0")</f>
        <v>0</v>
      </c>
      <c r="J16" s="2235"/>
      <c r="K16" s="1072"/>
      <c r="L16" s="1230"/>
      <c r="M16" s="1223" t="str">
        <f>IF(AND(   'Val-Dép'!H18="Caisse client-1an", 'Val-Dép'!I18&lt;&gt;"note de crédit"),VLOOKUP('Val-Dép'!S18,'Val-Dép'!S18:AJ18,14,FALSE ),"0")</f>
        <v>0</v>
      </c>
      <c r="N16" s="1224" t="str">
        <f>IF(AND( 'Val-Dép'!AE18="400/570", 'Val-Dép'!I18&lt;&gt;"note de crédit"),VLOOKUP('Val-Dép'!AE18,'Val-Dép'!AE18:AF18,2,FALSE ),"0")</f>
        <v>0</v>
      </c>
      <c r="O16" s="1231"/>
      <c r="P16" s="1081"/>
      <c r="Q16" s="2661"/>
      <c r="R16" s="2661"/>
      <c r="S16" s="1464"/>
      <c r="T16" s="2886"/>
      <c r="U16" s="2887" t="str">
        <f>IF(AND( 'Val-Dép'!AL39="440/550", 'Val-Dép'!I39&lt;&gt;"note de crédit"),VLOOKUP('Val-Dép'!AL39,'Val-Dép'!AL39:AM39,2,FALSE ),"0")</f>
        <v>0</v>
      </c>
      <c r="V16" s="3717" t="str">
        <f>IF(AND( 'Val-Dép'!H39="Bq fournis-1an", 'Val-Dép'!I39&lt;&gt;"note de crédit"),VLOOKUP('Val-Dép'!H39,'Val-Dép'!H39:AM39,21,FALSE ),"0")</f>
        <v>0</v>
      </c>
      <c r="W16" s="3718"/>
      <c r="X16" s="2881"/>
      <c r="Y16" s="2888"/>
      <c r="Z16" s="3706" t="str">
        <f>IF(AND( 'Val-Dép'!AL39="440/560", 'Val-Dép'!I39&lt;&gt;"note de crédit"),VLOOKUP('Val-Dép'!AL39,'Val-Dép'!AL39:AM39,2,FALSE ),"0")</f>
        <v>0</v>
      </c>
      <c r="AA16" s="3717" t="str">
        <f>IF(AND( 'Val-Dép'!H39="Bq post fournis-1an", 'Val-Dép'!I39&lt;&gt;"note de crédit"),VLOOKUP('Val-Dép'!H39,'Val-Dép'!H39:AM39,21,FALSE ),"0")</f>
        <v>0</v>
      </c>
      <c r="AB16" s="3718"/>
      <c r="AC16" s="2884"/>
      <c r="AD16" s="2888"/>
      <c r="AE16" s="3814" t="str">
        <f>IF(AND( 'Val-Dép'!AL39="440/570", 'Val-Dép'!I39&lt;&gt;"note de crédit"),VLOOKUP('Val-Dép'!AL39,'Val-Dép'!AL39:AM39,2,FALSE ),"0")</f>
        <v>0</v>
      </c>
      <c r="AF16" s="3711" t="str">
        <f>IF(AND( 'Val-Dép'!H39="Caisse fournis-1an", 'Val-Dép'!I39&lt;&gt;"note de crédit"),VLOOKUP('Val-Dép'!H39,'Val-Dép'!H39:AM39,21,FALSE ),"0")</f>
        <v>0</v>
      </c>
      <c r="AG16" s="3712"/>
      <c r="AH16" s="3784"/>
      <c r="AI16" s="2807"/>
      <c r="AP16" s="141"/>
    </row>
    <row r="17" spans="1:42" ht="10.95" customHeight="1" x14ac:dyDescent="0.25">
      <c r="B17" s="2917" t="s">
        <v>243</v>
      </c>
      <c r="C17" s="2475" t="str">
        <f>IF(AND(   'Val-Dép'!H19="Bq Client-1an", 'Val-Dép'!I19&lt;&gt;"note de crédit"),VLOOKUP('Val-Dép'!H19,'Val-Dép'!H19:Y19,18,FALSE ),"0")</f>
        <v>0</v>
      </c>
      <c r="D17" s="2476" t="str">
        <f>IF(AND( 'Val-Dép'!AE19="400/550", 'Val-Dép'!I19&lt;&gt;"note de crédit"),VLOOKUP('Val-Dép'!AE19,'Val-Dép'!AE19:AF19,2,FALSE ),"0")</f>
        <v>0</v>
      </c>
      <c r="E17" s="1171"/>
      <c r="F17" s="1162"/>
      <c r="G17" s="1081"/>
      <c r="H17" s="1223" t="str">
        <f>IF(AND(   'Val-Dép'!H19="Bq post client-1an", 'Val-Dép'!I19&lt;&gt;"note de crédit"),VLOOKUP('Val-Dép'!I19,'Val-Dép'!I19:Z19,14,FALSE ),"0")</f>
        <v>0</v>
      </c>
      <c r="I17" s="1223" t="str">
        <f>IF(AND( 'Val-Dép'!AE19="400/560", 'Val-Dép'!I19&lt;&gt;"note de crédit"),VLOOKUP('Val-Dép'!AE19,'Val-Dép'!AE19:AF19,2,FALSE ),"0")</f>
        <v>0</v>
      </c>
      <c r="J17" s="2235"/>
      <c r="K17" s="1081"/>
      <c r="L17" s="1230"/>
      <c r="M17" s="1223" t="str">
        <f>IF(AND(   'Val-Dép'!H19="Caisse client-1an", 'Val-Dép'!I19&lt;&gt;"note de crédit"),VLOOKUP('Val-Dép'!S19,'Val-Dép'!S19:AJ19,14,FALSE ),"0")</f>
        <v>0</v>
      </c>
      <c r="N17" s="1224" t="str">
        <f>IF(AND( 'Val-Dép'!AE19="400/570", 'Val-Dép'!I19&lt;&gt;"note de crédit"),VLOOKUP('Val-Dép'!AE19,'Val-Dép'!AE19:AF19,2,FALSE ),"0")</f>
        <v>0</v>
      </c>
      <c r="O17" s="1171"/>
      <c r="P17" s="1081"/>
      <c r="Q17" s="2662"/>
      <c r="R17" s="2662"/>
      <c r="S17" s="1464"/>
      <c r="T17" s="2886"/>
      <c r="U17" s="2887" t="str">
        <f>IF(AND( 'Val-Dép'!AL40="440/550", 'Val-Dép'!I40&lt;&gt;"note de crédit"),VLOOKUP('Val-Dép'!AL40,'Val-Dép'!AL40:AM40,2,FALSE ),"0")</f>
        <v>0</v>
      </c>
      <c r="V17" s="3717" t="str">
        <f>IF(AND( 'Val-Dép'!H40="Bq fournis-1an", 'Val-Dép'!I40&lt;&gt;"note de crédit"),VLOOKUP('Val-Dép'!H40,'Val-Dép'!H40:AM40,21,FALSE ),"0")</f>
        <v>0</v>
      </c>
      <c r="W17" s="3718"/>
      <c r="X17" s="2881"/>
      <c r="Y17" s="2888"/>
      <c r="Z17" s="3706" t="str">
        <f>IF(AND( 'Val-Dép'!AL40="440/560", 'Val-Dép'!I40&lt;&gt;"note de crédit"),VLOOKUP('Val-Dép'!AL40,'Val-Dép'!AL40:AM40,2,FALSE ),"0")</f>
        <v>0</v>
      </c>
      <c r="AA17" s="3717" t="str">
        <f>IF(AND( 'Val-Dép'!H40="Bq post fournis-1an", 'Val-Dép'!I40&lt;&gt;"note de crédit"),VLOOKUP('Val-Dép'!H40,'Val-Dép'!H40:AM40,21,FALSE ),"0")</f>
        <v>0</v>
      </c>
      <c r="AB17" s="3719"/>
      <c r="AC17" s="2884"/>
      <c r="AD17" s="2888"/>
      <c r="AE17" s="3814" t="str">
        <f>IF(AND( 'Val-Dép'!AL40="440/570", 'Val-Dép'!I40&lt;&gt;"note de crédit"),VLOOKUP('Val-Dép'!AL40,'Val-Dép'!AL40:AM40,2,FALSE ),"0")</f>
        <v>0</v>
      </c>
      <c r="AF17" s="3711" t="str">
        <f>IF(AND( 'Val-Dép'!H40="Caisse fournis-1an", 'Val-Dép'!I40&lt;&gt;"note de crédit"),VLOOKUP('Val-Dép'!H40,'Val-Dép'!H40:AM40,21,FALSE ),"0")</f>
        <v>0</v>
      </c>
      <c r="AG17" s="3712"/>
      <c r="AH17" s="3784"/>
      <c r="AI17" s="2807"/>
      <c r="AP17" s="141"/>
    </row>
    <row r="18" spans="1:42" ht="10.95" customHeight="1" x14ac:dyDescent="0.25">
      <c r="B18" s="2917" t="s">
        <v>244</v>
      </c>
      <c r="C18" s="2475" t="str">
        <f>IF(AND(   'Val-Dép'!H20="Bq Client-1an", 'Val-Dép'!I20&lt;&gt;"note de crédit"),VLOOKUP('Val-Dép'!H20,'Val-Dép'!H20:Y20,18,FALSE ),"0")</f>
        <v>0</v>
      </c>
      <c r="D18" s="2476" t="str">
        <f>IF(AND( 'Val-Dép'!AE20="400/550", 'Val-Dép'!I20&lt;&gt;"note de crédit"),VLOOKUP('Val-Dép'!AE20,'Val-Dép'!AE20:AF20,2,FALSE ),"0")</f>
        <v>0</v>
      </c>
      <c r="E18" s="1171"/>
      <c r="F18" s="1162"/>
      <c r="G18" s="1081"/>
      <c r="H18" s="1223" t="str">
        <f>IF(AND(   'Val-Dép'!H20="Bq post client-1an", 'Val-Dép'!I20&lt;&gt;"note de crédit"),VLOOKUP('Val-Dép'!I20,'Val-Dép'!I20:Z20,14,FALSE ),"0")</f>
        <v>0</v>
      </c>
      <c r="I18" s="1223" t="str">
        <f>IF(AND( 'Val-Dép'!AE20="400/560", 'Val-Dép'!I20&lt;&gt;"note de crédit"),VLOOKUP('Val-Dép'!AE20,'Val-Dép'!AE20:AF20,2,FALSE ),"0")</f>
        <v>0</v>
      </c>
      <c r="J18" s="2235"/>
      <c r="K18" s="1081"/>
      <c r="L18" s="1230"/>
      <c r="M18" s="1223" t="str">
        <f>IF(AND(   'Val-Dép'!H20="Caisse client-1an", 'Val-Dép'!I20&lt;&gt;"note de crédit"),VLOOKUP('Val-Dép'!S20,'Val-Dép'!S20:AJ20,14,FALSE ),"0")</f>
        <v>0</v>
      </c>
      <c r="N18" s="1224" t="str">
        <f>IF(AND( 'Val-Dép'!AE20="400/570", 'Val-Dép'!I20&lt;&gt;"note de crédit"),VLOOKUP('Val-Dép'!AE20,'Val-Dép'!AE20:AF20,2,FALSE ),"0")</f>
        <v>0</v>
      </c>
      <c r="O18" s="1171"/>
      <c r="P18" s="61"/>
      <c r="Q18" s="2659"/>
      <c r="R18" s="2659"/>
      <c r="S18" s="1464"/>
      <c r="T18" s="2886"/>
      <c r="U18" s="2887" t="str">
        <f>IF(AND( 'Val-Dép'!AL41="440/550", 'Val-Dép'!I41&lt;&gt;"note de crédit"),VLOOKUP('Val-Dép'!AL41,'Val-Dép'!AL41:AM41,2,FALSE ),"0")</f>
        <v>0</v>
      </c>
      <c r="V18" s="3717" t="str">
        <f>IF(AND( 'Val-Dép'!H41="Bq fournis-1an", 'Val-Dép'!I41&lt;&gt;"note de crédit"),VLOOKUP('Val-Dép'!H41,'Val-Dép'!H41:AM41,21,FALSE ),"0")</f>
        <v>0</v>
      </c>
      <c r="W18" s="3718"/>
      <c r="X18" s="2881"/>
      <c r="Y18" s="2888"/>
      <c r="Z18" s="3706" t="str">
        <f>IF(AND( 'Val-Dép'!AL41="440/560", 'Val-Dép'!I41&lt;&gt;"note de crédit"),VLOOKUP('Val-Dép'!AL41,'Val-Dép'!AL41:AM41,2,FALSE ),"0")</f>
        <v>0</v>
      </c>
      <c r="AA18" s="3717" t="str">
        <f>IF(AND( 'Val-Dép'!H41="Bq post fournis-1an", 'Val-Dép'!I41&lt;&gt;"note de crédit"),VLOOKUP('Val-Dép'!H41,'Val-Dép'!H41:AM41,21,FALSE ),"0")</f>
        <v>0</v>
      </c>
      <c r="AB18" s="3718"/>
      <c r="AC18" s="2884"/>
      <c r="AD18" s="2888"/>
      <c r="AE18" s="3814" t="str">
        <f>IF(AND( 'Val-Dép'!AL41="440/570", 'Val-Dép'!I41&lt;&gt;"note de crédit"),VLOOKUP('Val-Dép'!AL41,'Val-Dép'!AL41:AM41,2,FALSE ),"0")</f>
        <v>0</v>
      </c>
      <c r="AF18" s="3711" t="str">
        <f>IF(AND( 'Val-Dép'!H41="Caisse fournis-1an", 'Val-Dép'!I41&lt;&gt;"note de crédit"),VLOOKUP('Val-Dép'!H41,'Val-Dép'!H41:AM41,21,FALSE ),"0")</f>
        <v>0</v>
      </c>
      <c r="AG18" s="3712"/>
      <c r="AH18" s="3784"/>
      <c r="AI18" s="2807"/>
      <c r="AP18" s="141"/>
    </row>
    <row r="19" spans="1:42" ht="10.95" customHeight="1" x14ac:dyDescent="0.25">
      <c r="B19" s="2918" t="s">
        <v>245</v>
      </c>
      <c r="C19" s="2475" t="str">
        <f>IF(AND(   'Val-Dép'!H21="Bq Client-1an", 'Val-Dép'!I21&lt;&gt;"note de crédit"),VLOOKUP('Val-Dép'!H21,'Val-Dép'!H21:Y21,18,FALSE ),"0")</f>
        <v>0</v>
      </c>
      <c r="D19" s="2476" t="str">
        <f>IF(AND( 'Val-Dép'!AE21="400/550", 'Val-Dép'!I21&lt;&gt;"note de crédit"),VLOOKUP('Val-Dép'!AE21,'Val-Dép'!AE21:AF21,2,FALSE ),"0")</f>
        <v>0</v>
      </c>
      <c r="E19" s="1162"/>
      <c r="F19" s="1162"/>
      <c r="G19" s="1081"/>
      <c r="H19" s="1223" t="str">
        <f>IF(AND(   'Val-Dép'!H21="Bq post client-1an", 'Val-Dép'!I21&lt;&gt;"note de crédit"),VLOOKUP('Val-Dép'!I21,'Val-Dép'!I21:Z21,14,FALSE ),"0")</f>
        <v>0</v>
      </c>
      <c r="I19" s="1223" t="str">
        <f>IF(AND( 'Val-Dép'!AE21="400/560", 'Val-Dép'!I21&lt;&gt;"note de crédit"),VLOOKUP('Val-Dép'!AE21,'Val-Dép'!AE21:AF21,2,FALSE ),"0")</f>
        <v>0</v>
      </c>
      <c r="J19" s="1235"/>
      <c r="K19" s="1081"/>
      <c r="L19" s="1234"/>
      <c r="M19" s="1223" t="str">
        <f>IF(AND(   'Val-Dép'!H21="Caisse client-1an", 'Val-Dép'!I21&lt;&gt;"note de crédit"),VLOOKUP('Val-Dép'!S21,'Val-Dép'!S21:AJ21,14,FALSE ),"0")</f>
        <v>0</v>
      </c>
      <c r="N19" s="1224" t="str">
        <f>IF(AND( 'Val-Dép'!AE21="400/570", 'Val-Dép'!I21&lt;&gt;"note de crédit"),VLOOKUP('Val-Dép'!AE21,'Val-Dép'!AE21:AF21,2,FALSE ),"0")</f>
        <v>0</v>
      </c>
      <c r="O19" s="1162"/>
      <c r="P19" s="61"/>
      <c r="Q19" s="2659"/>
      <c r="R19" s="2659"/>
      <c r="S19" s="1464"/>
      <c r="T19" s="2886"/>
      <c r="U19" s="2887" t="str">
        <f>IF(AND( 'Val-Dép'!AL42="440/550", 'Val-Dép'!I42&lt;&gt;"note de crédit"),VLOOKUP('Val-Dép'!AL42,'Val-Dép'!AL42:AM42,2,FALSE ),"0")</f>
        <v>0</v>
      </c>
      <c r="V19" s="3717" t="str">
        <f>IF(AND( 'Val-Dép'!H42="Bq fournis-1an", 'Val-Dép'!I42&lt;&gt;"note de crédit"),VLOOKUP('Val-Dép'!H42,'Val-Dép'!H42:AM42,21,FALSE ),"0")</f>
        <v>0</v>
      </c>
      <c r="W19" s="3718"/>
      <c r="X19" s="2881"/>
      <c r="Y19" s="2888"/>
      <c r="Z19" s="3706" t="str">
        <f>IF(AND( 'Val-Dép'!AL42="440/560", 'Val-Dép'!I42&lt;&gt;"note de crédit"),VLOOKUP('Val-Dép'!AL42,'Val-Dép'!AL42:AM42,2,FALSE ),"0")</f>
        <v>0</v>
      </c>
      <c r="AA19" s="3717" t="str">
        <f>IF(AND( 'Val-Dép'!H42="Bq post fournis-1an", 'Val-Dép'!I42&lt;&gt;"note de crédit"),VLOOKUP('Val-Dép'!H42,'Val-Dép'!H42:AM42,21,FALSE ),"0")</f>
        <v>0</v>
      </c>
      <c r="AB19" s="3718"/>
      <c r="AC19" s="2884"/>
      <c r="AD19" s="2888"/>
      <c r="AE19" s="3814" t="str">
        <f>IF(AND( 'Val-Dép'!AL42="440/570", 'Val-Dép'!I42&lt;&gt;"note de crédit"),VLOOKUP('Val-Dép'!AL42,'Val-Dép'!AL42:AM42,2,FALSE ),"0")</f>
        <v>0</v>
      </c>
      <c r="AF19" s="3711" t="str">
        <f>IF(AND( 'Val-Dép'!H42="Caisse fournis-1an", 'Val-Dép'!I42&lt;&gt;"note de crédit"),VLOOKUP('Val-Dép'!H42,'Val-Dép'!H42:AM42,21,FALSE ),"0")</f>
        <v>0</v>
      </c>
      <c r="AG19" s="3712"/>
      <c r="AH19" s="3784"/>
      <c r="AI19" s="2807"/>
    </row>
    <row r="20" spans="1:42" ht="10.95" customHeight="1" x14ac:dyDescent="0.25">
      <c r="B20" s="2918" t="s">
        <v>277</v>
      </c>
      <c r="C20" s="2475" t="str">
        <f>IF(AND(   'Val-Dép'!H22="Bq Client-1an", 'Val-Dép'!I22&lt;&gt;"note de crédit"),VLOOKUP('Val-Dép'!H22,'Val-Dép'!H22:Y22,18,FALSE ),"0")</f>
        <v>0</v>
      </c>
      <c r="D20" s="2476" t="str">
        <f>IF(AND( 'Val-Dép'!AE22="400/550", 'Val-Dép'!I22&lt;&gt;"note de crédit"),VLOOKUP('Val-Dép'!AE22,'Val-Dép'!AE22:AF22,2,FALSE ),"0")</f>
        <v>0</v>
      </c>
      <c r="E20" s="1171"/>
      <c r="F20" s="1162"/>
      <c r="G20" s="1081"/>
      <c r="H20" s="1223" t="str">
        <f>IF(AND(   'Val-Dép'!H22="Bq post client-1an", 'Val-Dép'!I22&lt;&gt;"note de crédit"),VLOOKUP('Val-Dép'!I22,'Val-Dép'!I22:Z22,14,FALSE ),"0")</f>
        <v>0</v>
      </c>
      <c r="I20" s="1223" t="str">
        <f>IF(AND( 'Val-Dép'!AE22="400/560", 'Val-Dép'!I22&lt;&gt;"note de crédit"),VLOOKUP('Val-Dép'!AE22,'Val-Dép'!AE22:AF22,2,FALSE ),"0")</f>
        <v>0</v>
      </c>
      <c r="J20" s="1235"/>
      <c r="K20" s="1081"/>
      <c r="L20" s="1234"/>
      <c r="M20" s="1223" t="str">
        <f>IF(AND(   'Val-Dép'!H22="Caisse client-1an", 'Val-Dép'!I22&lt;&gt;"note de crédit"),VLOOKUP('Val-Dép'!S22,'Val-Dép'!S22:AJ22,14,FALSE ),"0")</f>
        <v>0</v>
      </c>
      <c r="N20" s="1224" t="str">
        <f>IF(AND( 'Val-Dép'!AE22="400/570", 'Val-Dép'!I22&lt;&gt;"note de crédit"),VLOOKUP('Val-Dép'!AE22,'Val-Dép'!AE22:AF22,2,FALSE ),"0")</f>
        <v>0</v>
      </c>
      <c r="O20" s="1171"/>
      <c r="P20" s="4061"/>
      <c r="Q20" s="4061"/>
      <c r="R20" s="2848"/>
      <c r="S20" s="1464"/>
      <c r="T20" s="2886"/>
      <c r="U20" s="2887" t="str">
        <f>IF(AND( 'Val-Dép'!AL43="440/550", 'Val-Dép'!I43&lt;&gt;"note de crédit"),VLOOKUP('Val-Dép'!AL43,'Val-Dép'!AL43:AM43,2,FALSE ),"0")</f>
        <v>0</v>
      </c>
      <c r="V20" s="3717" t="str">
        <f>IF(AND( 'Val-Dép'!H43="Bq fournis-1an", 'Val-Dép'!I43&lt;&gt;"note de crédit"),VLOOKUP('Val-Dép'!H43,'Val-Dép'!H43:AM43,21,FALSE ),"0")</f>
        <v>0</v>
      </c>
      <c r="W20" s="3718"/>
      <c r="X20" s="2881"/>
      <c r="Y20" s="2888"/>
      <c r="Z20" s="3706" t="str">
        <f>IF(AND( 'Val-Dép'!AL43="440/560", 'Val-Dép'!I43&lt;&gt;"note de crédit"),VLOOKUP('Val-Dép'!AL43,'Val-Dép'!AL43:AM43,2,FALSE ),"0")</f>
        <v>0</v>
      </c>
      <c r="AA20" s="3717" t="str">
        <f>IF(AND( 'Val-Dép'!H43="Bq post fournis-1an", 'Val-Dép'!I43&lt;&gt;"note de crédit"),VLOOKUP('Val-Dép'!H43,'Val-Dép'!H43:AM43,21,FALSE ),"0")</f>
        <v>0</v>
      </c>
      <c r="AB20" s="3718"/>
      <c r="AC20" s="2884"/>
      <c r="AD20" s="2888"/>
      <c r="AE20" s="3814" t="str">
        <f>IF(AND( 'Val-Dép'!AL43="440/570", 'Val-Dép'!I43&lt;&gt;"note de crédit"),VLOOKUP('Val-Dép'!AL43,'Val-Dép'!AL43:AM43,2,FALSE ),"0")</f>
        <v>0</v>
      </c>
      <c r="AF20" s="3711" t="str">
        <f>IF(AND( 'Val-Dép'!H43="Caisse fournis-1an", 'Val-Dép'!I43&lt;&gt;"note de crédit"),VLOOKUP('Val-Dép'!H43,'Val-Dép'!H43:AM43,21,FALSE ),"0")</f>
        <v>0</v>
      </c>
      <c r="AG20" s="3712"/>
      <c r="AH20" s="3784"/>
      <c r="AI20" s="2807"/>
    </row>
    <row r="21" spans="1:42" ht="10.95" customHeight="1" x14ac:dyDescent="0.25">
      <c r="B21" s="2919" t="s">
        <v>246</v>
      </c>
      <c r="C21" s="2475" t="str">
        <f>IF(AND(   'Val-Dép'!H23="Bq Client-1an", 'Val-Dép'!I23&lt;&gt;"note de crédit"),VLOOKUP('Val-Dép'!H23,'Val-Dép'!H23:Y23,18,FALSE ),"0")</f>
        <v>0</v>
      </c>
      <c r="D21" s="2476" t="str">
        <f>IF(AND( 'Val-Dép'!AE23="400/550", 'Val-Dép'!I23&lt;&gt;"note de crédit"),VLOOKUP('Val-Dép'!AE23,'Val-Dép'!AE23:AF23,2,FALSE ),"0")</f>
        <v>0</v>
      </c>
      <c r="E21" s="1171"/>
      <c r="F21" s="1162"/>
      <c r="G21" s="1081"/>
      <c r="H21" s="1223" t="str">
        <f>IF(AND(   'Val-Dép'!H23="Bq post client-1an", 'Val-Dép'!I23&lt;&gt;"note de crédit"),VLOOKUP('Val-Dép'!I23,'Val-Dép'!I23:Z23,14,FALSE ),"0")</f>
        <v>0</v>
      </c>
      <c r="I21" s="1223" t="str">
        <f>IF(AND( 'Val-Dép'!AE23="400/560", 'Val-Dép'!I23&lt;&gt;"note de crédit"),VLOOKUP('Val-Dép'!AE23,'Val-Dép'!AE23:AF23,2,FALSE ),"0")</f>
        <v>0</v>
      </c>
      <c r="J21" s="1240"/>
      <c r="K21" s="1081"/>
      <c r="L21" s="1238"/>
      <c r="M21" s="1223" t="str">
        <f>IF(AND(   'Val-Dép'!H23="Caisse client-1an", 'Val-Dép'!I23&lt;&gt;"note de crédit"),VLOOKUP('Val-Dép'!S23,'Val-Dép'!S23:AJ23,14,FALSE ),"0")</f>
        <v>0</v>
      </c>
      <c r="N21" s="1224" t="str">
        <f>IF(AND( 'Val-Dép'!AE23="400/570", 'Val-Dép'!I23&lt;&gt;"note de crédit"),VLOOKUP('Val-Dép'!AE23,'Val-Dép'!AE23:AF23,2,FALSE ),"0")</f>
        <v>0</v>
      </c>
      <c r="O21" s="1171"/>
      <c r="P21" s="1081"/>
      <c r="R21" s="2661"/>
      <c r="S21" s="1464"/>
      <c r="T21" s="2886"/>
      <c r="U21" s="2887" t="str">
        <f>IF(AND( 'Val-Dép'!AL44="440/550", 'Val-Dép'!I44&lt;&gt;"note de crédit"),VLOOKUP('Val-Dép'!AL44,'Val-Dép'!AL44:AM44,2,FALSE ),"0")</f>
        <v>0</v>
      </c>
      <c r="V21" s="3717" t="str">
        <f>IF(AND( 'Val-Dép'!H44="Bq fournis-1an", 'Val-Dép'!I44&lt;&gt;"note de crédit"),VLOOKUP('Val-Dép'!H44,'Val-Dép'!H44:AM44,21,FALSE ),"0")</f>
        <v>0</v>
      </c>
      <c r="W21" s="3718"/>
      <c r="X21" s="2881"/>
      <c r="Y21" s="2888"/>
      <c r="Z21" s="3706" t="str">
        <f>IF(AND( 'Val-Dép'!AL44="440/560", 'Val-Dép'!I44&lt;&gt;"note de crédit"),VLOOKUP('Val-Dép'!AL44,'Val-Dép'!AL44:AM44,2,FALSE ),"0")</f>
        <v>0</v>
      </c>
      <c r="AA21" s="3717" t="str">
        <f>IF(AND( 'Val-Dép'!H44="Bq post fournis-1an", 'Val-Dép'!I44&lt;&gt;"note de crédit"),VLOOKUP('Val-Dép'!H44,'Val-Dép'!H44:AM44,21,FALSE ),"0")</f>
        <v>0</v>
      </c>
      <c r="AB21" s="3718"/>
      <c r="AC21" s="2884"/>
      <c r="AD21" s="2888"/>
      <c r="AE21" s="3814" t="str">
        <f>IF(AND( 'Val-Dép'!AL44="440/570", 'Val-Dép'!I44&lt;&gt;"note de crédit"),VLOOKUP('Val-Dép'!AL44,'Val-Dép'!AL44:AM44,2,FALSE ),"0")</f>
        <v>0</v>
      </c>
      <c r="AF21" s="3711" t="str">
        <f>IF(AND( 'Val-Dép'!H44="Caisse fournis-1an", 'Val-Dép'!I44&lt;&gt;"note de crédit"),VLOOKUP('Val-Dép'!H44,'Val-Dép'!H44:AM44,21,FALSE ),"0")</f>
        <v>0</v>
      </c>
      <c r="AG21" s="3712"/>
      <c r="AH21" s="3784"/>
      <c r="AI21" s="2807"/>
    </row>
    <row r="22" spans="1:42" ht="10.95" customHeight="1" thickBot="1" x14ac:dyDescent="0.3">
      <c r="B22" s="2920" t="s">
        <v>186</v>
      </c>
      <c r="C22" s="2789">
        <f>SUM(C10:C21)</f>
        <v>6250</v>
      </c>
      <c r="D22" s="2786">
        <f>SUM(D11:D21)</f>
        <v>0</v>
      </c>
      <c r="E22" s="2652" t="s">
        <v>185</v>
      </c>
      <c r="F22" s="2652"/>
      <c r="G22" s="2652" t="s">
        <v>186</v>
      </c>
      <c r="H22" s="2789">
        <f>SUM(H11:H21)</f>
        <v>0</v>
      </c>
      <c r="I22" s="2656">
        <f>SUM(I11:I21)</f>
        <v>0</v>
      </c>
      <c r="J22" s="2653" t="s">
        <v>185</v>
      </c>
      <c r="K22" s="2653"/>
      <c r="L22" s="2651" t="s">
        <v>186</v>
      </c>
      <c r="M22" s="2789">
        <f>SUM(M11:M21)</f>
        <v>0</v>
      </c>
      <c r="N22" s="2787">
        <f>SUM(N11:N21)</f>
        <v>0</v>
      </c>
      <c r="O22" s="2654" t="s">
        <v>185</v>
      </c>
      <c r="P22" s="1081"/>
      <c r="R22" s="2662"/>
      <c r="S22" s="1464"/>
      <c r="T22" s="2886"/>
      <c r="U22" s="2887" t="str">
        <f>IF(AND( 'Val-Dép'!AL45="440/550", 'Val-Dép'!I45&lt;&gt;"note de crédit"),VLOOKUP('Val-Dép'!AL45,'Val-Dép'!AL45:AM45,2,FALSE ),"0")</f>
        <v>0</v>
      </c>
      <c r="V22" s="3717" t="str">
        <f>IF(AND( 'Val-Dép'!H45="Bq fournis-1an", 'Val-Dép'!I45&lt;&gt;"note de crédit"),VLOOKUP('Val-Dép'!H45,'Val-Dép'!H45:AM45,21,FALSE ),"0")</f>
        <v>0</v>
      </c>
      <c r="W22" s="3718"/>
      <c r="X22" s="2881"/>
      <c r="Y22" s="2888"/>
      <c r="Z22" s="3707" t="str">
        <f>IF(AND( 'Val-Dép'!AL45="440/560", 'Val-Dép'!I45&lt;&gt;"note de crédit"),VLOOKUP('Val-Dép'!AL45,'Val-Dép'!AL45:AM45,2,FALSE ),"0")</f>
        <v>0</v>
      </c>
      <c r="AA22" s="3717" t="str">
        <f>IF(AND( 'Val-Dép'!H45="Bq post fournis-1an", 'Val-Dép'!I45&lt;&gt;"note de crédit"),VLOOKUP('Val-Dép'!H45,'Val-Dép'!H45:AM45,21,FALSE ),"0")</f>
        <v>0</v>
      </c>
      <c r="AB22" s="3718"/>
      <c r="AC22" s="2884"/>
      <c r="AD22" s="2888"/>
      <c r="AE22" s="3814" t="str">
        <f>IF(AND( 'Val-Dép'!AL45="440/570", 'Val-Dép'!I45&lt;&gt;"note de crédit"),VLOOKUP('Val-Dép'!AL45,'Val-Dép'!AL45:AM45,2,FALSE ),"0")</f>
        <v>0</v>
      </c>
      <c r="AF22" s="3711" t="str">
        <f>IF(AND( 'Val-Dép'!H45="Caisse fournis-1an", 'Val-Dép'!I45&lt;&gt;"note de crédit"),VLOOKUP('Val-Dép'!H45,'Val-Dép'!H45:AM45,21,FALSE ),"0")</f>
        <v>0</v>
      </c>
      <c r="AG22" s="3712"/>
      <c r="AH22" s="3784"/>
      <c r="AI22" s="2807"/>
    </row>
    <row r="23" spans="1:42" ht="10.95" customHeight="1" thickBot="1" x14ac:dyDescent="0.3">
      <c r="B23" s="2921" t="s">
        <v>203</v>
      </c>
      <c r="C23" s="2790">
        <f>IF(C22&gt;D22,C22-D22,0)</f>
        <v>6250</v>
      </c>
      <c r="D23" s="2655">
        <f>IF(C22&lt;D22,D22-C22,0)</f>
        <v>0</v>
      </c>
      <c r="E23" s="2563"/>
      <c r="F23" s="2563"/>
      <c r="G23" s="2563" t="s">
        <v>203</v>
      </c>
      <c r="H23" s="2791">
        <f>IF(H22&gt;I22,H22-I22,0)</f>
        <v>0</v>
      </c>
      <c r="I23" s="2655">
        <f>IF(H22&lt;I22,I22-H22,0)</f>
        <v>0</v>
      </c>
      <c r="J23" s="2487"/>
      <c r="K23" s="2487"/>
      <c r="L23" s="2487" t="s">
        <v>203</v>
      </c>
      <c r="M23" s="2791">
        <f>IF(M22&gt;N22,M22-N22,0)</f>
        <v>0</v>
      </c>
      <c r="N23" s="2655">
        <f>IF(M22&lt;N22,N22-M22,0)</f>
        <v>0</v>
      </c>
      <c r="P23" s="3673"/>
      <c r="Q23" s="1258"/>
      <c r="R23" s="3674"/>
      <c r="S23" s="1464"/>
      <c r="T23" s="2893"/>
      <c r="U23" s="2887" t="str">
        <f>IF(AND( 'Val-Dép'!AL46="440/550", 'Val-Dép'!I46&lt;&gt;"note de crédit"),VLOOKUP('Val-Dép'!AL46,'Val-Dép'!AL46:AM46,2,FALSE ),"0")</f>
        <v>0</v>
      </c>
      <c r="V23" s="3723" t="str">
        <f>IF(AND( 'Val-Dép'!H46="Bq fournis-1an", 'Val-Dép'!I46&lt;&gt;"note de crédit"),VLOOKUP('Val-Dép'!H46,'Val-Dép'!H46:AM46,21,FALSE ),"0")</f>
        <v>0</v>
      </c>
      <c r="W23" s="3724"/>
      <c r="X23" s="2896"/>
      <c r="Y23" s="2897"/>
      <c r="Z23" s="2898"/>
      <c r="AA23" s="3720"/>
      <c r="AB23" s="3721"/>
      <c r="AC23" s="2884"/>
      <c r="AD23" s="2901"/>
      <c r="AE23" s="3708"/>
      <c r="AF23" s="3713" t="str">
        <f>IF(AND( 'Val-Dép'!H46="Caisse fournis-1an", 'Val-Dép'!I46&lt;&gt;"note de crédit"),VLOOKUP('Val-Dép'!H46,'Val-Dép'!H46:AM46,21,FALSE ),"0")</f>
        <v>0</v>
      </c>
      <c r="AG23" s="3714"/>
      <c r="AH23" s="3784"/>
      <c r="AI23" s="2807"/>
    </row>
    <row r="24" spans="1:42" ht="10.95" customHeight="1" thickTop="1" x14ac:dyDescent="0.25">
      <c r="B24" s="4061"/>
      <c r="C24" s="4061"/>
      <c r="D24" s="2581"/>
      <c r="E24" s="2657"/>
      <c r="F24" s="2657"/>
      <c r="G24" s="4061"/>
      <c r="H24" s="4061"/>
      <c r="I24" s="2658"/>
      <c r="J24" s="2657"/>
      <c r="K24" s="2517"/>
      <c r="L24" s="3672"/>
      <c r="M24" s="4102" t="s">
        <v>2486</v>
      </c>
      <c r="N24" s="4103"/>
      <c r="P24" s="1213"/>
      <c r="Q24" s="1258"/>
      <c r="R24" s="1258"/>
      <c r="S24" s="1464"/>
      <c r="T24" s="2904"/>
      <c r="U24" s="2790">
        <f>SUM(U12:U23)</f>
        <v>0</v>
      </c>
      <c r="V24" s="2905">
        <f>SUM(V11:V23)</f>
        <v>11500</v>
      </c>
      <c r="W24" s="2906"/>
      <c r="X24" s="2907"/>
      <c r="Y24" s="2907"/>
      <c r="Z24" s="2908">
        <f>SUM(Z12:Z23)</f>
        <v>0</v>
      </c>
      <c r="AA24" s="2909">
        <f>SUM(AA12:AA23)</f>
        <v>0</v>
      </c>
      <c r="AB24" s="2907"/>
      <c r="AC24" s="2907"/>
      <c r="AD24" s="2907"/>
      <c r="AE24" s="2906">
        <f>SUM(AE12:AE23)</f>
        <v>0</v>
      </c>
      <c r="AF24" s="2906">
        <f>SUM(AF12:AF22)</f>
        <v>0</v>
      </c>
      <c r="AG24" s="2885"/>
      <c r="AH24" s="3784"/>
      <c r="AI24" s="2807"/>
    </row>
    <row r="25" spans="1:42" ht="10.95" customHeight="1" thickBot="1" x14ac:dyDescent="0.3">
      <c r="B25" s="2487"/>
      <c r="C25" s="3622"/>
      <c r="D25" s="2551"/>
      <c r="E25" s="2507"/>
      <c r="F25" s="2507"/>
      <c r="G25" s="2507"/>
      <c r="H25" s="2467"/>
      <c r="I25" s="2507"/>
      <c r="J25" s="2507"/>
      <c r="K25" s="2487"/>
      <c r="L25" s="2487" t="s">
        <v>203</v>
      </c>
      <c r="M25" s="2660">
        <f>SUM(C23,H23,M23)</f>
        <v>6250</v>
      </c>
      <c r="N25" s="2683">
        <f>SUM(D23,I23,N23)</f>
        <v>0</v>
      </c>
      <c r="O25" s="2682" t="s">
        <v>189</v>
      </c>
      <c r="P25" s="1258"/>
      <c r="Q25" s="3675"/>
      <c r="R25" s="3675"/>
      <c r="S25" s="1464"/>
      <c r="T25" s="2910"/>
      <c r="U25" s="2791">
        <f>IF(U24&gt;V24,U24-V24,0)</f>
        <v>0</v>
      </c>
      <c r="V25" s="2791">
        <f>IF(U24&lt;V24,V24-U24,0)</f>
        <v>11500</v>
      </c>
      <c r="W25" s="2529" t="s">
        <v>189</v>
      </c>
      <c r="X25" s="2529"/>
      <c r="Y25" s="2529"/>
      <c r="Z25" s="2791">
        <f>IF(Z24&gt;AA24,Z24-AA24,0)</f>
        <v>0</v>
      </c>
      <c r="AA25" s="2791">
        <f>IF(Z24&lt;AA24,AA24-Z24,0)</f>
        <v>0</v>
      </c>
      <c r="AB25" s="2529" t="s">
        <v>189</v>
      </c>
      <c r="AC25" s="2529"/>
      <c r="AD25" s="2529"/>
      <c r="AE25" s="2791">
        <f>IF(AE24&gt;AF24,AE24-AF24,0)</f>
        <v>0</v>
      </c>
      <c r="AF25" s="2791">
        <f>IF(AE24&lt;AF24,AF24-AE24,0)</f>
        <v>0</v>
      </c>
      <c r="AG25" s="2885" t="s">
        <v>189</v>
      </c>
      <c r="AH25" s="3784"/>
      <c r="AI25" s="2807"/>
    </row>
    <row r="26" spans="1:42" ht="10.95" customHeight="1" thickBot="1" x14ac:dyDescent="0.3">
      <c r="B26" s="2487"/>
      <c r="C26" s="2551"/>
      <c r="D26" s="2551"/>
      <c r="E26" s="2588"/>
      <c r="F26" s="2588"/>
      <c r="G26" s="2588"/>
      <c r="H26" s="2588"/>
      <c r="I26" s="2588"/>
      <c r="J26" s="2588"/>
      <c r="K26" s="2487"/>
      <c r="L26" s="2487"/>
      <c r="M26" s="2565"/>
      <c r="N26" s="2517"/>
      <c r="P26" s="1258"/>
      <c r="Q26" s="3676"/>
      <c r="R26" s="3676"/>
      <c r="S26" s="1464"/>
      <c r="T26" s="2911"/>
      <c r="U26" s="2865"/>
      <c r="V26" s="4034" t="s">
        <v>2387</v>
      </c>
      <c r="W26" s="4034"/>
      <c r="X26" s="4034"/>
      <c r="Y26" s="4034"/>
      <c r="Z26" s="4034"/>
      <c r="AA26" s="4034"/>
      <c r="AB26" s="4034"/>
      <c r="AC26" s="4034"/>
      <c r="AD26" s="4034"/>
      <c r="AE26" s="2912"/>
      <c r="AF26" s="2913">
        <f>SUM(V25,AA25,AF25)</f>
        <v>11500</v>
      </c>
      <c r="AG26" s="2914" t="s">
        <v>2327</v>
      </c>
      <c r="AH26" s="3784"/>
      <c r="AI26" s="2807"/>
    </row>
    <row r="27" spans="1:42" ht="10.95" customHeight="1" thickBot="1" x14ac:dyDescent="0.3">
      <c r="B27" s="2487"/>
      <c r="C27" s="2551"/>
      <c r="D27" s="2806"/>
      <c r="E27" s="2507"/>
      <c r="F27" s="2507"/>
      <c r="G27" s="2507"/>
      <c r="H27" s="2507"/>
      <c r="I27" s="2507"/>
      <c r="J27" s="2507"/>
      <c r="K27" s="2487"/>
      <c r="L27" s="2487"/>
      <c r="M27" s="2565"/>
      <c r="N27" s="2517"/>
      <c r="P27" s="3673"/>
      <c r="Q27" s="1258"/>
      <c r="R27" s="1126"/>
      <c r="S27" s="1471"/>
      <c r="T27" s="3796"/>
      <c r="U27" s="3797"/>
      <c r="V27" s="3798"/>
      <c r="W27" s="2898"/>
      <c r="X27" s="3799"/>
      <c r="Y27" s="3800"/>
      <c r="Z27" s="3801"/>
      <c r="AA27" s="3802"/>
      <c r="AB27" s="3803"/>
      <c r="AC27" s="3801"/>
      <c r="AD27" s="3801"/>
      <c r="AE27" s="3801"/>
      <c r="AF27" s="2898"/>
      <c r="AG27" s="2898"/>
      <c r="AH27" s="3804"/>
      <c r="AI27" s="2807"/>
    </row>
    <row r="28" spans="1:42" ht="10.95" customHeight="1" thickTop="1" x14ac:dyDescent="0.25">
      <c r="E28" s="4064" t="s">
        <v>2338</v>
      </c>
      <c r="F28" s="4064"/>
      <c r="G28" s="4064"/>
      <c r="H28" s="4064"/>
      <c r="I28" s="4064"/>
      <c r="J28" s="4064"/>
      <c r="K28" s="1081"/>
      <c r="M28" s="1258"/>
      <c r="N28" s="1258"/>
      <c r="T28" s="3659"/>
      <c r="U28" s="3660"/>
      <c r="V28" s="3661"/>
      <c r="W28" s="2809"/>
      <c r="X28" s="2241"/>
      <c r="Y28" s="3662"/>
      <c r="Z28" s="2817"/>
      <c r="AA28" s="3663"/>
      <c r="AB28" s="3664"/>
      <c r="AC28" s="2817"/>
      <c r="AD28" s="2817"/>
      <c r="AE28" s="2817"/>
      <c r="AF28" s="2809"/>
      <c r="AG28" s="2809"/>
      <c r="AH28" s="2809"/>
      <c r="AI28" s="2809"/>
      <c r="AJ28" s="1258"/>
      <c r="AK28" s="1258"/>
    </row>
    <row r="29" spans="1:42" ht="10.95" customHeight="1" x14ac:dyDescent="0.25">
      <c r="A29" s="2244"/>
      <c r="B29" s="1104"/>
      <c r="C29" s="3473" t="s">
        <v>1993</v>
      </c>
      <c r="D29" s="3473" t="s">
        <v>2216</v>
      </c>
      <c r="E29" s="2492"/>
      <c r="F29" s="2489"/>
      <c r="G29" s="2487"/>
      <c r="H29" s="2501" t="s">
        <v>1993</v>
      </c>
      <c r="I29" s="2502" t="s">
        <v>2216</v>
      </c>
      <c r="J29" s="2503"/>
      <c r="K29" s="2489"/>
      <c r="L29" s="1104"/>
      <c r="M29" s="2501" t="s">
        <v>1993</v>
      </c>
      <c r="N29" s="2502" t="s">
        <v>2216</v>
      </c>
      <c r="O29" s="2492"/>
      <c r="T29" s="3659"/>
      <c r="U29" s="3660"/>
      <c r="V29" s="3661"/>
      <c r="W29" s="2809"/>
      <c r="X29" s="2241"/>
      <c r="Y29" s="3662"/>
      <c r="Z29" s="2817"/>
      <c r="AA29" s="3663"/>
      <c r="AB29" s="3664"/>
      <c r="AC29" s="2817"/>
      <c r="AD29" s="2817"/>
      <c r="AE29" s="2817"/>
      <c r="AF29" s="2809"/>
      <c r="AG29" s="2809"/>
      <c r="AH29" s="2809"/>
      <c r="AI29" s="2809"/>
      <c r="AJ29" s="1258"/>
      <c r="AK29" s="1258"/>
    </row>
    <row r="30" spans="1:42" ht="10.95" customHeight="1" thickBot="1" x14ac:dyDescent="0.3">
      <c r="A30" s="2244"/>
      <c r="B30" s="1104"/>
      <c r="C30" s="3474" t="s">
        <v>2409</v>
      </c>
      <c r="D30" s="3474" t="s">
        <v>2408</v>
      </c>
      <c r="E30" s="2504"/>
      <c r="F30" s="2504"/>
      <c r="G30" s="2504"/>
      <c r="H30" s="3474" t="s">
        <v>2409</v>
      </c>
      <c r="I30" s="3474" t="s">
        <v>2408</v>
      </c>
      <c r="J30" s="2504"/>
      <c r="K30" s="2489"/>
      <c r="L30" s="1104"/>
      <c r="M30" s="2505" t="s">
        <v>2307</v>
      </c>
      <c r="N30" s="2505" t="s">
        <v>2307</v>
      </c>
      <c r="O30" s="2504"/>
      <c r="T30" s="3659"/>
      <c r="U30" s="3660"/>
      <c r="V30" s="3661"/>
      <c r="W30" s="2809"/>
      <c r="X30" s="2241"/>
      <c r="Y30" s="3662"/>
      <c r="Z30" s="2817"/>
      <c r="AA30" s="3663"/>
      <c r="AB30" s="3664"/>
      <c r="AC30" s="2817"/>
      <c r="AD30" s="2817"/>
      <c r="AE30" s="2817"/>
      <c r="AF30" s="2809"/>
      <c r="AG30" s="2809"/>
      <c r="AH30" s="2809"/>
      <c r="AI30" s="2809"/>
      <c r="AJ30" s="1258"/>
      <c r="AK30" s="1258"/>
    </row>
    <row r="31" spans="1:42" ht="10.95" customHeight="1" thickBot="1" x14ac:dyDescent="0.3">
      <c r="A31" s="2244"/>
      <c r="B31" s="2494"/>
      <c r="C31" s="3475" t="s">
        <v>1623</v>
      </c>
      <c r="D31" s="4065" t="s">
        <v>2411</v>
      </c>
      <c r="E31" s="4066"/>
      <c r="F31" s="2506"/>
      <c r="G31" s="2506"/>
      <c r="H31" s="3475" t="s">
        <v>1623</v>
      </c>
      <c r="I31" s="2806" t="s">
        <v>2412</v>
      </c>
      <c r="J31" s="2506"/>
      <c r="K31" s="2499"/>
      <c r="L31" s="2494"/>
      <c r="M31" s="3476" t="s">
        <v>1623</v>
      </c>
      <c r="N31" s="2806" t="s">
        <v>2417</v>
      </c>
      <c r="O31" s="2510"/>
      <c r="T31" s="3659"/>
      <c r="U31" s="3660"/>
      <c r="V31" s="3661"/>
      <c r="W31" s="2809"/>
      <c r="X31" s="2241"/>
      <c r="Y31" s="3662"/>
      <c r="Z31" s="2817"/>
      <c r="AA31" s="3663"/>
      <c r="AB31" s="3664"/>
      <c r="AC31" s="2817"/>
      <c r="AD31" s="2817"/>
      <c r="AE31" s="2817"/>
      <c r="AF31" s="2809"/>
      <c r="AG31" s="2809"/>
      <c r="AH31" s="2809"/>
      <c r="AI31" s="2809"/>
      <c r="AJ31" s="1258"/>
      <c r="AK31" s="1258"/>
    </row>
    <row r="32" spans="1:42" ht="10.95" customHeight="1" thickTop="1" thickBot="1" x14ac:dyDescent="0.3">
      <c r="A32" s="2244"/>
      <c r="B32" s="2496"/>
      <c r="D32" s="4062" t="s">
        <v>2407</v>
      </c>
      <c r="E32" s="4062"/>
      <c r="F32" s="2500"/>
      <c r="G32" s="2487"/>
      <c r="H32" s="2487"/>
      <c r="I32" s="4062" t="s">
        <v>2410</v>
      </c>
      <c r="J32" s="4062"/>
      <c r="K32" s="2487"/>
      <c r="L32" s="2496"/>
      <c r="N32" s="4026" t="s">
        <v>2414</v>
      </c>
      <c r="O32" s="4027"/>
      <c r="S32" s="3643"/>
      <c r="T32" s="3773"/>
      <c r="U32" s="3774"/>
      <c r="V32" s="3775"/>
      <c r="W32" s="3776"/>
      <c r="X32" s="3777"/>
      <c r="Y32" s="3778"/>
      <c r="Z32" s="3779"/>
      <c r="AA32" s="3780"/>
      <c r="AB32" s="3781"/>
      <c r="AC32" s="3779"/>
      <c r="AD32" s="3779"/>
      <c r="AE32" s="3779"/>
      <c r="AF32" s="3776"/>
      <c r="AG32" s="3776"/>
      <c r="AH32" s="3782"/>
      <c r="AI32" s="2809"/>
      <c r="AJ32" s="1258"/>
      <c r="AK32" s="1258"/>
    </row>
    <row r="33" spans="1:37" ht="10.95" customHeight="1" thickBot="1" x14ac:dyDescent="0.3">
      <c r="A33" s="2244"/>
      <c r="B33" s="2512"/>
      <c r="C33" s="2488">
        <v>290</v>
      </c>
      <c r="D33" s="4028" t="s">
        <v>2406</v>
      </c>
      <c r="E33" s="4029"/>
      <c r="F33" s="2544"/>
      <c r="G33" s="2487"/>
      <c r="H33" s="2488">
        <v>290</v>
      </c>
      <c r="I33" s="4028" t="s">
        <v>2413</v>
      </c>
      <c r="J33" s="4029"/>
      <c r="K33" s="2488"/>
      <c r="L33" s="2512"/>
      <c r="M33" s="2488">
        <v>290</v>
      </c>
      <c r="N33" s="4028" t="s">
        <v>2415</v>
      </c>
      <c r="O33" s="4029"/>
      <c r="S33" s="1464"/>
      <c r="T33" s="2809"/>
      <c r="U33" s="3783"/>
      <c r="V33" s="4034" t="s">
        <v>2388</v>
      </c>
      <c r="W33" s="4035"/>
      <c r="X33" s="4035"/>
      <c r="Y33" s="4035"/>
      <c r="Z33" s="4035"/>
      <c r="AA33" s="4035"/>
      <c r="AB33" s="4035"/>
      <c r="AC33" s="4035"/>
      <c r="AD33" s="4035"/>
      <c r="AE33" s="2809"/>
      <c r="AF33" s="2809"/>
      <c r="AG33" s="2809"/>
      <c r="AH33" s="3784"/>
      <c r="AI33" s="2809"/>
      <c r="AJ33" s="1258"/>
      <c r="AK33" s="1258"/>
    </row>
    <row r="34" spans="1:37" ht="10.95" customHeight="1" thickBot="1" x14ac:dyDescent="0.3">
      <c r="A34" s="2244"/>
      <c r="B34" s="2513" t="s">
        <v>186</v>
      </c>
      <c r="C34" s="3487" t="s">
        <v>2334</v>
      </c>
      <c r="D34" s="3478" t="s">
        <v>169</v>
      </c>
      <c r="E34" s="2509" t="s">
        <v>185</v>
      </c>
      <c r="F34" s="2545"/>
      <c r="G34" s="2508" t="s">
        <v>186</v>
      </c>
      <c r="H34" s="2367" t="s">
        <v>2296</v>
      </c>
      <c r="I34" s="4067" t="s">
        <v>2286</v>
      </c>
      <c r="J34" s="4067"/>
      <c r="K34" s="2546"/>
      <c r="L34" s="2513" t="s">
        <v>186</v>
      </c>
      <c r="M34" s="2367" t="s">
        <v>2296</v>
      </c>
      <c r="N34" s="3477" t="s">
        <v>2416</v>
      </c>
      <c r="O34" s="2509" t="s">
        <v>185</v>
      </c>
      <c r="S34" s="1464"/>
      <c r="T34" s="4036" t="s">
        <v>1990</v>
      </c>
      <c r="U34" s="4037"/>
      <c r="V34" s="4036" t="s">
        <v>1989</v>
      </c>
      <c r="W34" s="4037"/>
      <c r="X34" s="2860"/>
      <c r="Y34" s="4036" t="s">
        <v>1990</v>
      </c>
      <c r="Z34" s="4037"/>
      <c r="AA34" s="4036" t="s">
        <v>1989</v>
      </c>
      <c r="AB34" s="4037"/>
      <c r="AC34" s="2529"/>
      <c r="AD34" s="4036" t="s">
        <v>1990</v>
      </c>
      <c r="AE34" s="4037"/>
      <c r="AF34" s="4036" t="s">
        <v>1989</v>
      </c>
      <c r="AG34" s="4037"/>
      <c r="AH34" s="3784"/>
      <c r="AI34" s="2809"/>
      <c r="AJ34" s="1258"/>
      <c r="AK34" s="1258"/>
    </row>
    <row r="35" spans="1:37" ht="10.95" customHeight="1" thickBot="1" x14ac:dyDescent="0.3">
      <c r="A35" s="2244"/>
      <c r="B35" s="2566" t="s">
        <v>207</v>
      </c>
      <c r="C35" s="3479">
        <f>IF(ISNA(VLOOKUP($C$34,'VAL-INIT'!$D$4:$F$84,3,FALSE)),,VLOOKUP($C$34,'VAL-INIT'!$D$4:$F$84,3,FALSE))</f>
        <v>0</v>
      </c>
      <c r="D35" s="2568" t="s">
        <v>206</v>
      </c>
      <c r="E35" s="2569"/>
      <c r="F35" s="2489"/>
      <c r="G35" s="2570" t="s">
        <v>207</v>
      </c>
      <c r="H35" s="2567" t="s">
        <v>2418</v>
      </c>
      <c r="I35" s="2571" t="s">
        <v>206</v>
      </c>
      <c r="J35" s="2572"/>
      <c r="K35" s="2546"/>
      <c r="L35" s="2566" t="s">
        <v>207</v>
      </c>
      <c r="M35" s="2567" t="s">
        <v>2418</v>
      </c>
      <c r="N35" s="2568" t="s">
        <v>206</v>
      </c>
      <c r="O35" s="2569"/>
      <c r="S35" s="1464"/>
      <c r="T35" s="4038" t="s">
        <v>1991</v>
      </c>
      <c r="U35" s="4039"/>
      <c r="V35" s="4038" t="s">
        <v>1992</v>
      </c>
      <c r="W35" s="4039"/>
      <c r="X35" s="2862"/>
      <c r="Y35" s="4038" t="s">
        <v>1991</v>
      </c>
      <c r="Z35" s="4039"/>
      <c r="AA35" s="4038" t="s">
        <v>1992</v>
      </c>
      <c r="AB35" s="4039"/>
      <c r="AC35" s="2863"/>
      <c r="AD35" s="4038" t="s">
        <v>1991</v>
      </c>
      <c r="AE35" s="4039"/>
      <c r="AF35" s="4038" t="s">
        <v>1992</v>
      </c>
      <c r="AG35" s="4039"/>
      <c r="AH35" s="3784"/>
      <c r="AI35" s="2809"/>
      <c r="AJ35" s="1258"/>
      <c r="AK35" s="1258"/>
    </row>
    <row r="36" spans="1:37" ht="10.95" customHeight="1" thickBot="1" x14ac:dyDescent="0.3">
      <c r="A36" s="2573"/>
      <c r="B36" s="2574"/>
      <c r="C36" s="2575" t="str">
        <f>IF(AND('Val-Dép'!H13="Bq Client+1an", 'Val-Dép'!I13&lt;&gt;"note de crédit"),VLOOKUP('Val-Dép'!H13,'Val-Dép'!H13:Y13,18,FALSE ),"0")</f>
        <v>0</v>
      </c>
      <c r="D36" s="2856" t="str">
        <f>IF(AND( 'Val-Dép'!AE13="290/550", 'Val-Dép'!I13&lt;&gt;"note de crédit"),VLOOKUP('Val-Dép'!AE13,'Val-Dép'!AE13:AF13,2,FALSE ),"0")</f>
        <v>0</v>
      </c>
      <c r="E36" s="2492"/>
      <c r="F36" s="2489"/>
      <c r="G36" s="2551"/>
      <c r="H36" s="2577" t="str">
        <f>IF(AND(   'Val-Dép'!H13="Bq post client+1an", 'Val-Dép'!I13&lt;&gt;"note de crédit"),VLOOKUP('Val-Dép'!I13,'Val-Dép'!I13:V13,14,FALSE ),"0")</f>
        <v>0</v>
      </c>
      <c r="I36" s="2577" t="str">
        <f>IF(AND( 'Val-Dép'!AE13="290/560", 'Val-Dép'!I13&lt;&gt;"note de crédit"),VLOOKUP('Val-Dép'!AE13,'Val-Dép'!AE13:AF13,2,FALSE ),"0")</f>
        <v>0</v>
      </c>
      <c r="J36" s="2578"/>
      <c r="K36" s="2546"/>
      <c r="L36" s="2574"/>
      <c r="M36" s="2577" t="str">
        <f>IF(AND(   'Val-Dép'!H13="Caisse client+1an", 'Val-Dép'!I13&lt;&gt;"note de crédit"),VLOOKUP('Val-Dép'!I13,'Val-Dép'!I13:V13,14,FALSE ),"0")</f>
        <v>0</v>
      </c>
      <c r="N36" s="2576" t="str">
        <f>IF(AND( 'Val-Dép'!AE13="290/570", 'Val-Dép'!IM13&lt;&gt;"note de crédit"),VLOOKUP('Val-Dép'!AE13,'Val-Dép'!AE13:AF13,2,FALSE ),"0")</f>
        <v>0</v>
      </c>
      <c r="O36" s="2492"/>
      <c r="S36" s="1464"/>
      <c r="T36" s="4007" t="s">
        <v>2321</v>
      </c>
      <c r="U36" s="4008"/>
      <c r="V36" s="4007" t="s">
        <v>2322</v>
      </c>
      <c r="W36" s="4008"/>
      <c r="X36" s="2864"/>
      <c r="Y36" s="4007" t="s">
        <v>2323</v>
      </c>
      <c r="Z36" s="4008"/>
      <c r="AA36" s="4007" t="s">
        <v>2324</v>
      </c>
      <c r="AB36" s="4008"/>
      <c r="AC36" s="2864"/>
      <c r="AD36" s="4007" t="s">
        <v>2325</v>
      </c>
      <c r="AE36" s="4008"/>
      <c r="AF36" s="4007" t="s">
        <v>2326</v>
      </c>
      <c r="AG36" s="4008"/>
      <c r="AH36" s="3784"/>
      <c r="AI36" s="2809"/>
      <c r="AJ36" s="1258"/>
      <c r="AK36" s="1258"/>
    </row>
    <row r="37" spans="1:37" ht="10.95" customHeight="1" thickBot="1" x14ac:dyDescent="0.3">
      <c r="A37" s="2517"/>
      <c r="B37" s="2574"/>
      <c r="C37" s="2575">
        <f>IF(AND('Val-Dép'!H14="Bq Client+1an", 'Val-Dép'!I14&lt;&gt;"note de crédit"),VLOOKUP('Val-Dép'!H14,'Val-Dép'!H14:Y14,18,FALSE ),"0")</f>
        <v>0</v>
      </c>
      <c r="D37" s="2576">
        <f>IF(AND( 'Val-Dép'!AE14="290/550", 'Val-Dép'!I14&lt;&gt;"note de crédit"),VLOOKUP('Val-Dép'!AE14,'Val-Dép'!AE14:AF14,2,FALSE ),"0")</f>
        <v>0</v>
      </c>
      <c r="E37" s="2487"/>
      <c r="F37" s="2489"/>
      <c r="G37" s="2487"/>
      <c r="H37" s="2577" t="str">
        <f>IF(AND(   'Val-Dép'!H14="Bq post client+1an", 'Val-Dép'!I14&lt;&gt;"note de crédit"),VLOOKUP('Val-Dép'!I14,'Val-Dép'!I14:V14,14,FALSE ),"0")</f>
        <v>0</v>
      </c>
      <c r="I37" s="2577" t="str">
        <f>IF(AND( 'Val-Dép'!AE14="290/560", 'Val-Dép'!I14&lt;&gt;"note de crédit"),VLOOKUP('Val-Dép'!AE14,'Val-Dép'!AE14:AF14,2,FALSE ),"0")</f>
        <v>0</v>
      </c>
      <c r="J37" s="2578"/>
      <c r="K37" s="2546"/>
      <c r="L37" s="2574"/>
      <c r="M37" s="2577" t="str">
        <f>IF(AND(   'Val-Dép'!H14="Caisse client+1an", 'Val-Dép'!I14&lt;&gt;"note de crédit"),VLOOKUP('Val-Dép'!I14,'Val-Dép'!I14:V14,14,FALSE ),"0")</f>
        <v>0</v>
      </c>
      <c r="N37" s="2576" t="str">
        <f>IF(AND( 'Val-Dép'!AE14="290/570", 'Val-Dép'!IM14&lt;&gt;"note de crédit"),VLOOKUP('Val-Dép'!AE14,'Val-Dép'!AE14:AF14,2,FALSE ),"0")</f>
        <v>0</v>
      </c>
      <c r="O37" s="2487"/>
      <c r="S37" s="1464"/>
      <c r="T37" s="4030" t="s">
        <v>217</v>
      </c>
      <c r="U37" s="4031"/>
      <c r="V37" s="4032" t="s">
        <v>216</v>
      </c>
      <c r="W37" s="4033"/>
      <c r="X37" s="2865"/>
      <c r="Y37" s="2529"/>
      <c r="Z37" s="2537"/>
      <c r="AA37" s="2537"/>
      <c r="AB37" s="2529"/>
      <c r="AC37" s="2529"/>
      <c r="AD37" s="2529"/>
      <c r="AE37" s="2529"/>
      <c r="AF37" s="2529"/>
      <c r="AG37" s="2529"/>
      <c r="AH37" s="3784"/>
      <c r="AI37" s="2809"/>
      <c r="AJ37" s="1258"/>
      <c r="AK37" s="1258"/>
    </row>
    <row r="38" spans="1:37" ht="10.95" customHeight="1" thickTop="1" x14ac:dyDescent="0.25">
      <c r="A38" s="2573"/>
      <c r="B38" s="2574"/>
      <c r="C38" s="2575" t="str">
        <f>IF(AND('Val-Dép'!H15="Bq Client+1an", 'Val-Dép'!I15&lt;&gt;"note de crédit"),VLOOKUP('Val-Dép'!H15,'Val-Dép'!H15:Y15,18,FALSE ),"0")</f>
        <v>0</v>
      </c>
      <c r="D38" s="2576" t="str">
        <f>IF(AND( 'Val-Dép'!AE15="290/550", 'Val-Dép'!I15&lt;&gt;"note de crédit"),VLOOKUP('Val-Dép'!AE15,'Val-Dép'!AE15:AF15,2,FALSE ),"0")</f>
        <v>0</v>
      </c>
      <c r="E38" s="2492"/>
      <c r="F38" s="2489"/>
      <c r="G38" s="2487"/>
      <c r="H38" s="2577" t="str">
        <f>IF(AND(   'Val-Dép'!H15="Bq post client+1an", 'Val-Dép'!I15&lt;&gt;"note de crédit"),VLOOKUP('Val-Dép'!I15,'Val-Dép'!I15:V15,14,FALSE ),"0")</f>
        <v>0</v>
      </c>
      <c r="I38" s="2577" t="str">
        <f>IF(AND( 'Val-Dép'!AE15="290/560", 'Val-Dép'!I15&lt;&gt;"note de crédit"),VLOOKUP('Val-Dép'!AE15,'Val-Dép'!AE15:AF15,2,FALSE ),"0")</f>
        <v>0</v>
      </c>
      <c r="J38" s="2578"/>
      <c r="K38" s="2546"/>
      <c r="L38" s="2574"/>
      <c r="M38" s="2577" t="str">
        <f>IF(AND(   'Val-Dép'!H15="Caisse client+1an", 'Val-Dép'!I15&lt;&gt;"note de crédit"),VLOOKUP('Val-Dép'!I15,'Val-Dép'!I15:V15,14,FALSE ),"0")</f>
        <v>0</v>
      </c>
      <c r="N38" s="2576" t="str">
        <f>IF(AND( 'Val-Dép'!AE15="290/570", 'Val-Dép'!IM15&lt;&gt;"note de crédit"),VLOOKUP('Val-Dép'!AE15,'Val-Dép'!AE15:AF15,2,FALSE ),"0")</f>
        <v>0</v>
      </c>
      <c r="O38" s="2492"/>
      <c r="S38" s="1464"/>
      <c r="T38" s="2866"/>
      <c r="U38" s="2915"/>
      <c r="V38" s="2868" t="s">
        <v>214</v>
      </c>
      <c r="W38" s="2529"/>
      <c r="X38" s="2869"/>
      <c r="Y38" s="2529" t="s">
        <v>1681</v>
      </c>
      <c r="Z38" s="2868" t="s">
        <v>214</v>
      </c>
      <c r="AA38" s="2529"/>
      <c r="AB38" s="2529"/>
      <c r="AC38" s="2529"/>
      <c r="AD38" s="2529" t="s">
        <v>1682</v>
      </c>
      <c r="AE38" s="2868" t="s">
        <v>214</v>
      </c>
      <c r="AF38" s="2529"/>
      <c r="AG38" s="2870"/>
      <c r="AH38" s="3784"/>
      <c r="AI38" s="2809"/>
      <c r="AJ38" s="1258"/>
      <c r="AK38" s="1258"/>
    </row>
    <row r="39" spans="1:37" ht="10.95" customHeight="1" thickBot="1" x14ac:dyDescent="0.3">
      <c r="A39" s="2573"/>
      <c r="B39" s="2574"/>
      <c r="C39" s="2575" t="str">
        <f>IF(AND('Val-Dép'!H16="Bq Client+1an", 'Val-Dép'!I16&lt;&gt;"note de crédit"),VLOOKUP('Val-Dép'!H16,'Val-Dép'!H16:Y16,18,FALSE ),"0")</f>
        <v>0</v>
      </c>
      <c r="D39" s="2576" t="str">
        <f>IF(AND( 'Val-Dép'!AE16="290/550", 'Val-Dép'!I16&lt;&gt;"note de crédit"),VLOOKUP('Val-Dép'!AE16,'Val-Dép'!AE16:AF16,2,FALSE ),"0")</f>
        <v>0</v>
      </c>
      <c r="E39" s="2492"/>
      <c r="F39" s="2489"/>
      <c r="G39" s="2487"/>
      <c r="H39" s="2577" t="str">
        <f>IF(AND(   'Val-Dép'!H16="Bq post client+1an", 'Val-Dép'!I16&lt;&gt;"note de crédit"),VLOOKUP('Val-Dép'!I16,'Val-Dép'!I16:V16,14,FALSE ),"0")</f>
        <v>0</v>
      </c>
      <c r="I39" s="2577" t="str">
        <f>IF(AND( 'Val-Dép'!AE16="290/560", 'Val-Dép'!I16&lt;&gt;"note de crédit"),VLOOKUP('Val-Dép'!AE16,'Val-Dép'!AE16:AF16,2,FALSE ),"0")</f>
        <v>0</v>
      </c>
      <c r="J39" s="2578"/>
      <c r="K39" s="2546"/>
      <c r="L39" s="2574"/>
      <c r="M39" s="2577" t="str">
        <f>IF(AND(   'Val-Dép'!H16="Caisse client+1an", 'Val-Dép'!I16&lt;&gt;"note de crédit"),VLOOKUP('Val-Dép'!I16,'Val-Dép'!I16:V16,14,FALSE ),"0")</f>
        <v>0</v>
      </c>
      <c r="N39" s="2576" t="str">
        <f>IF(AND( 'Val-Dép'!AE16="290/570", 'Val-Dép'!IM16&lt;&gt;"note de crédit"),VLOOKUP('Val-Dép'!AE16,'Val-Dép'!AE16:AF16,2,FALSE ),"0")</f>
        <v>0</v>
      </c>
      <c r="O39" s="2492"/>
      <c r="S39" s="1464"/>
      <c r="T39" s="2871"/>
      <c r="U39" s="2867" t="s">
        <v>3</v>
      </c>
      <c r="V39" s="2916"/>
      <c r="W39" s="2529"/>
      <c r="X39" s="2869"/>
      <c r="Y39" s="2529"/>
      <c r="Z39" s="2529"/>
      <c r="AA39" s="2529"/>
      <c r="AB39" s="2529"/>
      <c r="AC39" s="2529"/>
      <c r="AD39" s="2529"/>
      <c r="AE39" s="2529"/>
      <c r="AF39" s="2529"/>
      <c r="AG39" s="2870"/>
      <c r="AH39" s="3784"/>
      <c r="AI39" s="2809"/>
      <c r="AJ39" s="1258"/>
      <c r="AK39" s="1258"/>
    </row>
    <row r="40" spans="1:37" ht="10.95" customHeight="1" thickBot="1" x14ac:dyDescent="0.3">
      <c r="A40" s="2573"/>
      <c r="B40" s="2574"/>
      <c r="C40" s="2575" t="str">
        <f>IF(AND('Val-Dép'!H17="Bq Client+1an", 'Val-Dép'!I17&lt;&gt;"note de crédit"),VLOOKUP('Val-Dép'!H17,'Val-Dép'!H17:Y17,18,FALSE ),"0")</f>
        <v>0</v>
      </c>
      <c r="D40" s="2576" t="str">
        <f>IF(AND( 'Val-Dép'!AE17="290/550", 'Val-Dép'!I17&lt;&gt;"note de crédit"),VLOOKUP('Val-Dép'!AE17,'Val-Dép'!AE17:AF17,2,FALSE ),"0")</f>
        <v>0</v>
      </c>
      <c r="E40" s="2579"/>
      <c r="F40" s="2489"/>
      <c r="G40" s="2487"/>
      <c r="H40" s="2577" t="str">
        <f>IF(AND(   'Val-Dép'!H17="Bq post client+1an", 'Val-Dép'!I17&lt;&gt;"note de crédit"),VLOOKUP('Val-Dép'!I17,'Val-Dép'!I17:V17,14,FALSE ),"0")</f>
        <v>0</v>
      </c>
      <c r="I40" s="2577" t="str">
        <f>IF(AND( 'Val-Dép'!AE17="290/560", 'Val-Dép'!I17&lt;&gt;"note de crédit"),VLOOKUP('Val-Dép'!AE17,'Val-Dép'!AE17:AF17,2,FALSE ),"0")</f>
        <v>0</v>
      </c>
      <c r="J40" s="2578"/>
      <c r="K40" s="2580"/>
      <c r="L40" s="2574"/>
      <c r="M40" s="2577" t="str">
        <f>IF(AND(   'Val-Dép'!H17="Caisse client+1an", 'Val-Dép'!I17&lt;&gt;"note de crédit"),VLOOKUP('Val-Dép'!I17,'Val-Dép'!I17:V17,14,FALSE ),"0")</f>
        <v>0</v>
      </c>
      <c r="N40" s="2576" t="str">
        <f>IF(AND( 'Val-Dép'!AE17="290/570", 'Val-Dép'!IM17&lt;&gt;"note de crédit"),VLOOKUP('Val-Dép'!AE17,'Val-Dép'!AE17:AF17,2,FALSE ),"0")</f>
        <v>0</v>
      </c>
      <c r="O40" s="2579"/>
      <c r="S40" s="1464"/>
      <c r="T40" s="2873" t="s">
        <v>195</v>
      </c>
      <c r="U40" s="2874" t="s">
        <v>2384</v>
      </c>
      <c r="V40" s="2875" t="s">
        <v>2370</v>
      </c>
      <c r="W40" s="2556" t="s">
        <v>193</v>
      </c>
      <c r="X40" s="2809"/>
      <c r="Y40" s="2529" t="s">
        <v>195</v>
      </c>
      <c r="Z40" s="2874" t="s">
        <v>2385</v>
      </c>
      <c r="AA40" s="2875" t="s">
        <v>2370</v>
      </c>
      <c r="AB40" s="2542" t="s">
        <v>193</v>
      </c>
      <c r="AC40" s="2809"/>
      <c r="AD40" s="2529" t="s">
        <v>195</v>
      </c>
      <c r="AE40" s="2874" t="s">
        <v>2386</v>
      </c>
      <c r="AF40" s="2875" t="s">
        <v>2370</v>
      </c>
      <c r="AG40" s="2877" t="s">
        <v>193</v>
      </c>
      <c r="AH40" s="3784"/>
      <c r="AI40" s="2809"/>
      <c r="AJ40" s="1258"/>
      <c r="AK40" s="1258"/>
    </row>
    <row r="41" spans="1:37" ht="10.95" customHeight="1" x14ac:dyDescent="0.25">
      <c r="A41" s="2581"/>
      <c r="B41" s="2582"/>
      <c r="C41" s="2575" t="str">
        <f>IF(AND('Val-Dép'!H18="Bq Client+1an", 'Val-Dép'!I18&lt;&gt;"note de crédit"),VLOOKUP('Val-Dép'!H18,'Val-Dép'!H18:Y18,18,FALSE ),"0")</f>
        <v>0</v>
      </c>
      <c r="D41" s="2576" t="str">
        <f>IF(AND( 'Val-Dép'!AE18="290/550", 'Val-Dép'!I18&lt;&gt;"note de crédit"),VLOOKUP('Val-Dép'!AE18,'Val-Dép'!AE18:AF18,2,FALSE ),"0")</f>
        <v>0</v>
      </c>
      <c r="E41" s="2492"/>
      <c r="F41" s="2583"/>
      <c r="G41" s="2487"/>
      <c r="H41" s="2577" t="str">
        <f>IF(AND(   'Val-Dép'!H18="Bq post client+1an", 'Val-Dép'!I18&lt;&gt;"note de crédit"),VLOOKUP('Val-Dép'!I18,'Val-Dép'!I18:V18,14,FALSE ),"0")</f>
        <v>0</v>
      </c>
      <c r="I41" s="2577" t="str">
        <f>IF(AND( 'Val-Dép'!AE18="290/560", 'Val-Dép'!I18&lt;&gt;"note de crédit"),VLOOKUP('Val-Dép'!AE18,'Val-Dép'!AE18:AF18,2,FALSE ),"0")</f>
        <v>0</v>
      </c>
      <c r="J41" s="1104"/>
      <c r="K41" s="2487"/>
      <c r="L41" s="2582"/>
      <c r="M41" s="2577" t="str">
        <f>IF(AND(   'Val-Dép'!H18="Caisse client+1an", 'Val-Dép'!I18&lt;&gt;"note de crédit"),VLOOKUP('Val-Dép'!I18,'Val-Dép'!I18:V18,14,FALSE ),"0")</f>
        <v>0</v>
      </c>
      <c r="N41" s="2576" t="str">
        <f>IF(AND( 'Val-Dép'!AE18="290/570", 'Val-Dép'!IM18&lt;&gt;"note de crédit"),VLOOKUP('Val-Dép'!AE18,'Val-Dép'!AE18:AF18,2,FALSE ),"0")</f>
        <v>0</v>
      </c>
      <c r="O41" s="2492"/>
      <c r="S41" s="1464"/>
      <c r="T41" s="2878"/>
      <c r="U41" s="150" t="s">
        <v>2494</v>
      </c>
      <c r="V41" s="2879">
        <f>IF(ISNA(VLOOKUP($V$40,'VAL-INIT'!$J$4:$L$63,3,FALSE)),,VLOOKUP($V$40,'VAL-INIT'!$J$4:$L$63,3,FALSE))</f>
        <v>0</v>
      </c>
      <c r="W41" s="2880" t="s">
        <v>1643</v>
      </c>
      <c r="X41" s="2881"/>
      <c r="Y41" s="2882"/>
      <c r="Z41" s="2879" t="s">
        <v>2314</v>
      </c>
      <c r="AA41" s="2883"/>
      <c r="AB41" s="2884"/>
      <c r="AC41" s="2884"/>
      <c r="AD41" s="2884"/>
      <c r="AE41" s="2879" t="s">
        <v>2291</v>
      </c>
      <c r="AF41" s="2884"/>
      <c r="AG41" s="2885"/>
      <c r="AH41" s="3784"/>
      <c r="AI41" s="2809"/>
      <c r="AJ41" s="1258"/>
      <c r="AK41" s="1258"/>
    </row>
    <row r="42" spans="1:37" ht="10.95" customHeight="1" x14ac:dyDescent="0.25">
      <c r="A42" s="2517"/>
      <c r="B42" s="2582"/>
      <c r="C42" s="2575" t="str">
        <f>IF(AND('Val-Dép'!H19="Bq Client+1an", 'Val-Dép'!I19&lt;&gt;"note de crédit"),VLOOKUP('Val-Dép'!H19,'Val-Dép'!H19:Y19,18,FALSE ),"0")</f>
        <v>0</v>
      </c>
      <c r="D42" s="2576" t="str">
        <f>IF(AND( 'Val-Dép'!AE19="290/550", 'Val-Dép'!I19&lt;&gt;"note de crédit"),VLOOKUP('Val-Dép'!AE19,'Val-Dép'!AE19:AF19,2,FALSE ),"0")</f>
        <v>0</v>
      </c>
      <c r="E42" s="2492"/>
      <c r="F42" s="2489"/>
      <c r="G42" s="2487"/>
      <c r="H42" s="2577" t="str">
        <f>IF(AND(   'Val-Dép'!H19="Bq post client+1an", 'Val-Dép'!I19&lt;&gt;"note de crédit"),VLOOKUP('Val-Dép'!I19,'Val-Dép'!I19:V19,14,FALSE ),"0")</f>
        <v>0</v>
      </c>
      <c r="I42" s="2577" t="str">
        <f>IF(AND( 'Val-Dép'!AE19="290/560", 'Val-Dép'!I19&lt;&gt;"note de crédit"),VLOOKUP('Val-Dép'!AE19,'Val-Dép'!AE19:AF19,2,FALSE ),"0")</f>
        <v>0</v>
      </c>
      <c r="J42" s="1104"/>
      <c r="K42" s="2487"/>
      <c r="L42" s="2582"/>
      <c r="M42" s="2577" t="str">
        <f>IF(AND(   'Val-Dép'!H19="Caisse client+1an", 'Val-Dép'!I19&lt;&gt;"note de crédit"),VLOOKUP('Val-Dép'!I19,'Val-Dép'!I19:V19,14,FALSE ),"0")</f>
        <v>0</v>
      </c>
      <c r="N42" s="2576" t="str">
        <f>IF(AND( 'Val-Dép'!AE19="290/570", 'Val-Dép'!IM19&lt;&gt;"note de crédit"),VLOOKUP('Val-Dép'!AE19,'Val-Dép'!AE19:AF19,2,FALSE ),"0")</f>
        <v>0</v>
      </c>
      <c r="O42" s="2492"/>
      <c r="S42" s="1464"/>
      <c r="T42" s="2886"/>
      <c r="U42" s="2887" t="str">
        <f>IF(AND( 'Val-Dép'!AL35="1750/550", 'Val-Dép'!I35&lt;&gt;"note de crédit"),VLOOKUP('Val-Dép'!AL35,'Val-Dép'!AL35:AM35,2,FALSE ),"0")</f>
        <v>0</v>
      </c>
      <c r="V42" s="2889" t="str">
        <f>IF(AND( 'Val-Dép'!H35="Bq fournis+1an", 'Val-Dép'!I35&lt;&gt;"note de crédit"),VLOOKUP('Val-Dép'!H35,'Val-Dép'!H35:AM35,21,FALSE ),"0")</f>
        <v>0</v>
      </c>
      <c r="W42" s="2884"/>
      <c r="X42" s="2881"/>
      <c r="Y42" s="2888"/>
      <c r="Z42" s="3785" t="str">
        <f>IF(AND( 'Val-Dép'!AL35="1750/560", 'Val-Dép'!I35&lt;&gt;"note de crédit"),VLOOKUP('Val-Dép'!AL35,'Val-Dép'!AL35:AM35,2,FALSE ),"0")</f>
        <v>0</v>
      </c>
      <c r="AA42" s="2889" t="str">
        <f>IF(AND( 'Val-Dép'!H35="Bq post fournis+1an", 'Val-Dép'!I35&lt;&gt;"note de crédit"),VLOOKUP('Val-Dép'!H35,'Val-Dép'!H35:AM35,21,FALSE ),"0")</f>
        <v>0</v>
      </c>
      <c r="AB42" s="2884"/>
      <c r="AC42" s="2884"/>
      <c r="AD42" s="2888"/>
      <c r="AE42" s="2892" t="str">
        <f>IF(AND( 'Val-Dép'!AL35="1750/570", 'Val-Dép'!I35&lt;&gt;"note de crédit"),VLOOKUP('Val-Dép'!AL35,'Val-Dép'!AL35:AM35,2,FALSE ),"0")</f>
        <v>0</v>
      </c>
      <c r="AF42" s="2890" t="str">
        <f>IF(AND( 'Val-Dép'!H35="Caisse fournis+1an", 'Val-Dép'!I35&lt;&gt;"note de crédit"),VLOOKUP('Val-Dép'!H35,'Val-Dép'!H35:AM35,21,FALSE ),"0")</f>
        <v>0</v>
      </c>
      <c r="AG42" s="2885"/>
      <c r="AH42" s="3784"/>
      <c r="AI42" s="2809"/>
      <c r="AJ42" s="1258"/>
      <c r="AK42" s="1258"/>
    </row>
    <row r="43" spans="1:37" ht="10.95" customHeight="1" x14ac:dyDescent="0.25">
      <c r="A43" s="2517"/>
      <c r="B43" s="2582"/>
      <c r="C43" s="2575" t="str">
        <f>IF(AND('Val-Dép'!H20="Bq Client+1an", 'Val-Dép'!I20&lt;&gt;"note de crédit"),VLOOKUP('Val-Dép'!H20,'Val-Dép'!H20:Y20,18,FALSE ),"0")</f>
        <v>0</v>
      </c>
      <c r="D43" s="2576" t="str">
        <f>IF(AND( 'Val-Dép'!AE20="290/550", 'Val-Dép'!I20&lt;&gt;"note de crédit"),VLOOKUP('Val-Dép'!AE20,'Val-Dép'!AE20:AF20,2,FALSE ),"0")</f>
        <v>0</v>
      </c>
      <c r="E43" s="2492"/>
      <c r="F43" s="2489"/>
      <c r="G43" s="2487"/>
      <c r="H43" s="2577" t="str">
        <f>IF(AND(   'Val-Dép'!H20="Bq post client+1an", 'Val-Dép'!I20&lt;&gt;"note de crédit"),VLOOKUP('Val-Dép'!I20,'Val-Dép'!I20:V20,14,FALSE ),"0")</f>
        <v>0</v>
      </c>
      <c r="I43" s="2577" t="str">
        <f>IF(AND( 'Val-Dép'!AE20="290/560", 'Val-Dép'!I20&lt;&gt;"note de crédit"),VLOOKUP('Val-Dép'!AE20,'Val-Dép'!AE20:AF20,2,FALSE ),"0")</f>
        <v>0</v>
      </c>
      <c r="J43" s="1104"/>
      <c r="K43" s="2487"/>
      <c r="L43" s="2582"/>
      <c r="M43" s="2577" t="str">
        <f>IF(AND(   'Val-Dép'!H20="Caisse client+1an", 'Val-Dép'!I20&lt;&gt;"note de crédit"),VLOOKUP('Val-Dép'!I20,'Val-Dép'!I20:V20,14,FALSE ),"0")</f>
        <v>0</v>
      </c>
      <c r="N43" s="2576" t="str">
        <f>IF(AND( 'Val-Dép'!AE20="290/570", 'Val-Dép'!IM20&lt;&gt;"note de crédit"),VLOOKUP('Val-Dép'!AE20,'Val-Dép'!AE20:AF20,2,FALSE ),"0")</f>
        <v>0</v>
      </c>
      <c r="O43" s="2492"/>
      <c r="S43" s="1464"/>
      <c r="T43" s="2886"/>
      <c r="U43" s="2887" t="str">
        <f>IF(AND( 'Val-Dép'!AL36="1750/550", 'Val-Dép'!I36&lt;&gt;"note de crédit"),VLOOKUP('Val-Dép'!AL36,'Val-Dép'!AL36:AM36,2,FALSE ),"0")</f>
        <v>0</v>
      </c>
      <c r="V43" s="2889" t="str">
        <f>IF(AND( 'Val-Dép'!H36="Bq fournis+1an", 'Val-Dép'!I36&lt;&gt;"note de crédit"),VLOOKUP('Val-Dép'!H36,'Val-Dép'!H36:AM36,21,FALSE ),"0")</f>
        <v>0</v>
      </c>
      <c r="W43" s="2884"/>
      <c r="X43" s="2881"/>
      <c r="Y43" s="2888"/>
      <c r="Z43" s="3785" t="str">
        <f>IF(AND( 'Val-Dép'!AL36="1750/560", 'Val-Dép'!I36&lt;&gt;"note de crédit"),VLOOKUP('Val-Dép'!AL36,'Val-Dép'!AL36:AM36,2,FALSE ),"0")</f>
        <v>0</v>
      </c>
      <c r="AA43" s="2889" t="str">
        <f>IF(AND( 'Val-Dép'!H36="Bq post fournis+1an", 'Val-Dép'!I36&lt;&gt;"note de crédit"),VLOOKUP('Val-Dép'!H36,'Val-Dép'!H36:AM36,21,FALSE ),"0")</f>
        <v>0</v>
      </c>
      <c r="AB43" s="2884"/>
      <c r="AC43" s="2884"/>
      <c r="AD43" s="2888"/>
      <c r="AE43" s="2892" t="str">
        <f>IF(AND( 'Val-Dép'!AL36="1750/570", 'Val-Dép'!I36&lt;&gt;"note de crédit"),VLOOKUP('Val-Dép'!AL36,'Val-Dép'!AL36:AM36,2,FALSE ),"0")</f>
        <v>0</v>
      </c>
      <c r="AF43" s="2890" t="str">
        <f>IF(AND( 'Val-Dép'!H36="Caisse fournis+1an", 'Val-Dép'!I36&lt;&gt;"note de crédit"),VLOOKUP('Val-Dép'!H36,'Val-Dép'!H36:AM36,21,FALSE ),"0")</f>
        <v>0</v>
      </c>
      <c r="AG43" s="2885"/>
      <c r="AH43" s="3784"/>
      <c r="AI43" s="2809"/>
      <c r="AJ43" s="1258"/>
      <c r="AK43" s="1258"/>
    </row>
    <row r="44" spans="1:37" ht="10.95" customHeight="1" x14ac:dyDescent="0.25">
      <c r="A44" s="2494"/>
      <c r="B44" s="2584"/>
      <c r="C44" s="2575" t="str">
        <f>IF(AND('Val-Dép'!H21="Bq Client+1an", 'Val-Dép'!I21&lt;&gt;"note de crédit"),VLOOKUP('Val-Dép'!H21,'Val-Dép'!H21:Y21,18,FALSE ),"0")</f>
        <v>0</v>
      </c>
      <c r="D44" s="2576" t="str">
        <f>IF(AND( 'Val-Dép'!AE21="290/550", 'Val-Dép'!I21&lt;&gt;"note de crédit"),VLOOKUP('Val-Dép'!AE21,'Val-Dép'!AE21:AF21,2,FALSE ),"0")</f>
        <v>0</v>
      </c>
      <c r="E44" s="2489"/>
      <c r="F44" s="2489"/>
      <c r="G44" s="2487"/>
      <c r="H44" s="2577" t="str">
        <f>IF(AND(   'Val-Dép'!H21="Bq post client+1an", 'Val-Dép'!I21&lt;&gt;"note de crédit"),VLOOKUP('Val-Dép'!I21,'Val-Dép'!I21:V21,14,FALSE ),"0")</f>
        <v>0</v>
      </c>
      <c r="I44" s="2577" t="str">
        <f>IF(AND( 'Val-Dép'!AE21="290/560", 'Val-Dép'!I21&lt;&gt;"note de crédit"),VLOOKUP('Val-Dép'!AE21,'Val-Dép'!AE21:AF21,2,FALSE ),"0")</f>
        <v>0</v>
      </c>
      <c r="J44" s="2585"/>
      <c r="K44" s="2487"/>
      <c r="L44" s="2584"/>
      <c r="M44" s="2577" t="str">
        <f>IF(AND(   'Val-Dép'!H21="Caisse client+1an", 'Val-Dép'!I21&lt;&gt;"note de crédit"),VLOOKUP('Val-Dép'!I21,'Val-Dép'!I21:V21,14,FALSE ),"0")</f>
        <v>0</v>
      </c>
      <c r="N44" s="2576" t="str">
        <f>IF(AND( 'Val-Dép'!AE21="290/570", 'Val-Dép'!IM21&lt;&gt;"note de crédit"),VLOOKUP('Val-Dép'!AE21,'Val-Dép'!AE21:AF21,2,FALSE ),"0")</f>
        <v>0</v>
      </c>
      <c r="O44" s="2489"/>
      <c r="P44" s="1258"/>
      <c r="Q44" s="1258"/>
      <c r="R44" s="1258"/>
      <c r="S44" s="1464"/>
      <c r="T44" s="2886"/>
      <c r="U44" s="2887" t="str">
        <f>IF(AND( 'Val-Dép'!AL37="1750/550", 'Val-Dép'!I37&lt;&gt;"note de crédit"),VLOOKUP('Val-Dép'!AL37,'Val-Dép'!AL37:AM37,2,FALSE ),"0")</f>
        <v>0</v>
      </c>
      <c r="V44" s="2889" t="str">
        <f>IF(AND( 'Val-Dép'!H37="Bq fournis+1an", 'Val-Dép'!I37&lt;&gt;"note de crédit"),VLOOKUP('Val-Dép'!H37,'Val-Dép'!H37:AM37,21,FALSE ),"0")</f>
        <v>0</v>
      </c>
      <c r="W44" s="2884"/>
      <c r="X44" s="2891"/>
      <c r="Y44" s="2888"/>
      <c r="Z44" s="3785" t="str">
        <f>IF(AND( 'Val-Dép'!AL37="1750/560", 'Val-Dép'!I37&lt;&gt;"note de crédit"),VLOOKUP('Val-Dép'!AL37,'Val-Dép'!AL37:AM37,2,FALSE ),"0")</f>
        <v>0</v>
      </c>
      <c r="AA44" s="2889" t="str">
        <f>IF(AND( 'Val-Dép'!H37="Bq post fournis+1an", 'Val-Dép'!I37&lt;&gt;"note de crédit"),VLOOKUP('Val-Dép'!H37,'Val-Dép'!H37:AM37,21,FALSE ),"0")</f>
        <v>0</v>
      </c>
      <c r="AB44" s="2884"/>
      <c r="AC44" s="2884"/>
      <c r="AD44" s="2888"/>
      <c r="AE44" s="2892" t="str">
        <f>IF(AND( 'Val-Dép'!AL37="1750/570", 'Val-Dép'!I37&lt;&gt;"note de crédit"),VLOOKUP('Val-Dép'!AL37,'Val-Dép'!AL37:AM37,2,FALSE ),"0")</f>
        <v>0</v>
      </c>
      <c r="AF44" s="2890" t="str">
        <f>IF(AND( 'Val-Dép'!H37="Caisse fournis+1an", 'Val-Dép'!I37&lt;&gt;"note de crédit"),VLOOKUP('Val-Dép'!H37,'Val-Dép'!H37:AM37,21,FALSE ),"0")</f>
        <v>0</v>
      </c>
      <c r="AG44" s="2885"/>
      <c r="AH44" s="3784"/>
      <c r="AI44" s="2809"/>
      <c r="AJ44" s="1258"/>
      <c r="AK44" s="1258"/>
    </row>
    <row r="45" spans="1:37" ht="10.95" customHeight="1" x14ac:dyDescent="0.25">
      <c r="A45" s="2494"/>
      <c r="B45" s="2584"/>
      <c r="C45" s="2575" t="str">
        <f>IF(AND('Val-Dép'!H22="Bq Client+1an", 'Val-Dép'!I22&lt;&gt;"note de crédit"),VLOOKUP('Val-Dép'!H22,'Val-Dép'!H22:Y22,18,FALSE ),"0")</f>
        <v>0</v>
      </c>
      <c r="D45" s="2576" t="str">
        <f>IF(AND( 'Val-Dép'!AE22="290/550", 'Val-Dép'!I22&lt;&gt;"note de crédit"),VLOOKUP('Val-Dép'!AE22,'Val-Dép'!AE22:AF22,2,FALSE ),"0")</f>
        <v>0</v>
      </c>
      <c r="E45" s="2492"/>
      <c r="F45" s="2489"/>
      <c r="G45" s="2487"/>
      <c r="H45" s="2577" t="str">
        <f>IF(AND(   'Val-Dép'!H22="Bq post client+1an", 'Val-Dép'!I22&lt;&gt;"note de crédit"),VLOOKUP('Val-Dép'!I22,'Val-Dép'!I22:V22,14,FALSE ),"0")</f>
        <v>0</v>
      </c>
      <c r="I45" s="2577" t="str">
        <f>IF(AND( 'Val-Dép'!AE22="290/560", 'Val-Dép'!I22&lt;&gt;"note de crédit"),VLOOKUP('Val-Dép'!AE22,'Val-Dép'!AE22:AF22,2,FALSE ),"0")</f>
        <v>0</v>
      </c>
      <c r="J45" s="2585"/>
      <c r="K45" s="2487"/>
      <c r="L45" s="2584"/>
      <c r="M45" s="2577" t="str">
        <f>IF(AND(   'Val-Dép'!H22="Caisse client+1an", 'Val-Dép'!I22&lt;&gt;"note de crédit"),VLOOKUP('Val-Dép'!I22,'Val-Dép'!I22:V22,14,FALSE ),"0")</f>
        <v>0</v>
      </c>
      <c r="N45" s="2576" t="str">
        <f>IF(AND( 'Val-Dép'!AE22="290/570", 'Val-Dép'!IM22&lt;&gt;"note de crédit"),VLOOKUP('Val-Dép'!AE22,'Val-Dép'!AE22:AF22,2,FALSE ),"0")</f>
        <v>0</v>
      </c>
      <c r="O45" s="2492"/>
      <c r="P45" s="1258"/>
      <c r="Q45" s="1258"/>
      <c r="R45" s="1258"/>
      <c r="S45" s="1464"/>
      <c r="T45" s="2886"/>
      <c r="U45" s="2887" t="str">
        <f>IF(AND( 'Val-Dép'!AL38="1750/550", 'Val-Dép'!I38&lt;&gt;"note de crédit"),VLOOKUP('Val-Dép'!AL38,'Val-Dép'!AL38:AM38,2,FALSE ),"0")</f>
        <v>0</v>
      </c>
      <c r="V45" s="2889" t="str">
        <f>IF(AND( 'Val-Dép'!H38="Bq fournis+1an", 'Val-Dép'!I38&lt;&gt;"note de crédit"),VLOOKUP('Val-Dép'!H38,'Val-Dép'!H38:AM38,21,FALSE ),"0")</f>
        <v>0</v>
      </c>
      <c r="W45" s="2884"/>
      <c r="X45" s="2891"/>
      <c r="Y45" s="2888"/>
      <c r="Z45" s="3785" t="str">
        <f>IF(AND( 'Val-Dép'!AL38="1750/560", 'Val-Dép'!I38&lt;&gt;"note de crédit"),VLOOKUP('Val-Dép'!AL38,'Val-Dép'!AL38:AM38,2,FALSE ),"0")</f>
        <v>0</v>
      </c>
      <c r="AA45" s="2889" t="str">
        <f>IF(AND( 'Val-Dép'!H38="Bq post fournis+1an", 'Val-Dép'!I38&lt;&gt;"note de crédit"),VLOOKUP('Val-Dép'!H38,'Val-Dép'!H38:AM38,21,FALSE ),"0")</f>
        <v>0</v>
      </c>
      <c r="AB45" s="2884"/>
      <c r="AC45" s="2884"/>
      <c r="AD45" s="2888"/>
      <c r="AE45" s="2892" t="str">
        <f>IF(AND( 'Val-Dép'!AL38="1750/570", 'Val-Dép'!I38&lt;&gt;"note de crédit"),VLOOKUP('Val-Dép'!AL38,'Val-Dép'!AL38:AM38,2,FALSE ),"0")</f>
        <v>0</v>
      </c>
      <c r="AF45" s="2890" t="str">
        <f>IF(AND( 'Val-Dép'!H38="Caisse fournis+1an", 'Val-Dép'!I38&lt;&gt;"note de crédit"),VLOOKUP('Val-Dép'!H38,'Val-Dép'!H38:AM38,21,FALSE ),"0")</f>
        <v>0</v>
      </c>
      <c r="AG45" s="2885"/>
      <c r="AH45" s="3784"/>
      <c r="AI45" s="2809"/>
      <c r="AJ45" s="1258"/>
      <c r="AK45" s="1258"/>
    </row>
    <row r="46" spans="1:37" ht="10.95" customHeight="1" x14ac:dyDescent="0.25">
      <c r="A46" s="2494"/>
      <c r="B46" s="2586"/>
      <c r="C46" s="2575" t="str">
        <f>IF(AND('Val-Dép'!H23="Bq Client+1an", 'Val-Dép'!I23&lt;&gt;"note de crédit"),VLOOKUP('Val-Dép'!H23,'Val-Dép'!H23:Y23,18,FALSE ),"0")</f>
        <v>0</v>
      </c>
      <c r="D46" s="2576" t="str">
        <f>IF(AND( 'Val-Dép'!AE23="290/550", 'Val-Dép'!I23&lt;&gt;"note de crédit"),VLOOKUP('Val-Dép'!AE23,'Val-Dép'!AE23:AF23,2,FALSE ),"0")</f>
        <v>0</v>
      </c>
      <c r="E46" s="2492"/>
      <c r="F46" s="2489"/>
      <c r="G46" s="2487"/>
      <c r="H46" s="2577" t="str">
        <f>IF(AND(   'Val-Dép'!H23="Bq post client+1an", 'Val-Dép'!I23&lt;&gt;"note de crédit"),VLOOKUP('Val-Dép'!I23,'Val-Dép'!I23:V23,14,FALSE ),"0")</f>
        <v>0</v>
      </c>
      <c r="I46" s="2577" t="str">
        <f>IF(AND( 'Val-Dép'!AE23="290/560", 'Val-Dép'!I23&lt;&gt;"note de crédit"),VLOOKUP('Val-Dép'!AE23,'Val-Dép'!AE23:AF23,2,FALSE ),"0")</f>
        <v>0</v>
      </c>
      <c r="J46" s="2587"/>
      <c r="K46" s="2487"/>
      <c r="L46" s="2586"/>
      <c r="M46" s="2577" t="str">
        <f>IF(AND(   'Val-Dép'!H23="Caisse client+1an", 'Val-Dép'!I23&lt;&gt;"note de crédit"),VLOOKUP('Val-Dép'!I23,'Val-Dép'!I23:V23,14,FALSE ),"0")</f>
        <v>0</v>
      </c>
      <c r="N46" s="2576" t="str">
        <f>IF(AND( 'Val-Dép'!AE23="290/570", 'Val-Dép'!IM23&lt;&gt;"note de crédit"),VLOOKUP('Val-Dép'!AE23,'Val-Dép'!AE23:AF23,2,FALSE ),"0")</f>
        <v>0</v>
      </c>
      <c r="O46" s="2492"/>
      <c r="P46" s="4105"/>
      <c r="Q46" s="4105"/>
      <c r="R46" s="3682"/>
      <c r="S46" s="1464"/>
      <c r="T46" s="2886"/>
      <c r="U46" s="2887" t="str">
        <f>IF(AND( 'Val-Dép'!AL39="1750/550", 'Val-Dép'!I39&lt;&gt;"note de crédit"),VLOOKUP('Val-Dép'!AL39,'Val-Dép'!AL39:AM39,2,FALSE ),"0")</f>
        <v>0</v>
      </c>
      <c r="V46" s="2889" t="str">
        <f>IF(AND( 'Val-Dép'!H39="Bq fournis+1an", 'Val-Dép'!I39&lt;&gt;"note de crédit"),VLOOKUP('Val-Dép'!H39,'Val-Dép'!H39:AM39,21,FALSE ),"0")</f>
        <v>0</v>
      </c>
      <c r="W46" s="2884"/>
      <c r="X46" s="2881"/>
      <c r="Y46" s="2888"/>
      <c r="Z46" s="3785" t="str">
        <f>IF(AND( 'Val-Dép'!AL39="1750/560", 'Val-Dép'!I39&lt;&gt;"note de crédit"),VLOOKUP('Val-Dép'!AL39,'Val-Dép'!AL39:AM39,2,FALSE ),"0")</f>
        <v>0</v>
      </c>
      <c r="AA46" s="2889" t="str">
        <f>IF(AND( 'Val-Dép'!H39="Bq post fournis+1an", 'Val-Dép'!I39&lt;&gt;"note de crédit"),VLOOKUP('Val-Dép'!H39,'Val-Dép'!H39:AM39,21,FALSE ),"0")</f>
        <v>0</v>
      </c>
      <c r="AB46" s="2884"/>
      <c r="AC46" s="2884"/>
      <c r="AD46" s="2888"/>
      <c r="AE46" s="2892" t="str">
        <f>IF(AND( 'Val-Dép'!AL39="1750/570", 'Val-Dép'!I39&lt;&gt;"note de crédit"),VLOOKUP('Val-Dép'!AL39,'Val-Dép'!AL39:AM39,2,FALSE ),"0")</f>
        <v>0</v>
      </c>
      <c r="AF46" s="2890" t="str">
        <f>IF(AND( 'Val-Dép'!H39="Caisse fournis+1an", 'Val-Dép'!I39&lt;&gt;"note de crédit"),VLOOKUP('Val-Dép'!H39,'Val-Dép'!H39:AM39,21,FALSE ),"0")</f>
        <v>0</v>
      </c>
      <c r="AG46" s="2885"/>
      <c r="AH46" s="3784"/>
      <c r="AI46" s="2809"/>
      <c r="AJ46" s="1258"/>
      <c r="AK46" s="1258"/>
    </row>
    <row r="47" spans="1:37" ht="10.95" customHeight="1" thickBot="1" x14ac:dyDescent="0.3">
      <c r="A47" s="2494"/>
      <c r="B47" s="2562"/>
      <c r="C47" s="2788">
        <f>SUM(C35:C46)</f>
        <v>0</v>
      </c>
      <c r="D47" s="2792">
        <f>SUM(D36:D46)</f>
        <v>0</v>
      </c>
      <c r="E47" s="2563"/>
      <c r="F47" s="2563"/>
      <c r="G47" s="2563"/>
      <c r="H47" s="2788">
        <f>SUM(H36:H46)</f>
        <v>0</v>
      </c>
      <c r="I47" s="2793">
        <f>SUM(I36:I46)</f>
        <v>0</v>
      </c>
      <c r="J47" s="2487"/>
      <c r="K47" s="2487"/>
      <c r="L47" s="2562"/>
      <c r="M47" s="2788">
        <f>SUM(M36:M46)</f>
        <v>0</v>
      </c>
      <c r="N47" s="2792">
        <f>SUM(N36:N46)</f>
        <v>0</v>
      </c>
      <c r="O47" s="2563"/>
      <c r="P47" s="1258"/>
      <c r="Q47" s="3675"/>
      <c r="R47" s="3675"/>
      <c r="S47" s="1464"/>
      <c r="T47" s="2886"/>
      <c r="U47" s="2887" t="str">
        <f>IF(AND( 'Val-Dép'!AL40="1750/550", 'Val-Dép'!I40&lt;&gt;"note de crédit"),VLOOKUP('Val-Dép'!AL40,'Val-Dép'!AL40:AM40,2,FALSE ),"0")</f>
        <v>0</v>
      </c>
      <c r="V47" s="2889" t="str">
        <f>IF(AND( 'Val-Dép'!H40="Bq fournis+1an", 'Val-Dép'!I40&lt;&gt;"note de crédit"),VLOOKUP('Val-Dép'!H40,'Val-Dép'!H40:AM40,21,FALSE ),"0")</f>
        <v>0</v>
      </c>
      <c r="W47" s="2884"/>
      <c r="X47" s="2881"/>
      <c r="Y47" s="2888"/>
      <c r="Z47" s="3785" t="str">
        <f>IF(AND( 'Val-Dép'!AL40="1750/560", 'Val-Dép'!I40&lt;&gt;"note de crédit"),VLOOKUP('Val-Dép'!AL40,'Val-Dép'!AL40:AM40,2,FALSE ),"0")</f>
        <v>0</v>
      </c>
      <c r="AA47" s="2889" t="str">
        <f>IF(AND( 'Val-Dép'!H40="Bq post fournis+1an", 'Val-Dép'!I40&lt;&gt;"note de crédit"),VLOOKUP('Val-Dép'!H40,'Val-Dép'!H40:AM40,21,FALSE ),"0")</f>
        <v>0</v>
      </c>
      <c r="AB47" s="2892"/>
      <c r="AC47" s="2884"/>
      <c r="AD47" s="2888"/>
      <c r="AE47" s="2892" t="str">
        <f>IF(AND( 'Val-Dép'!AL40="1750/570", 'Val-Dép'!I40&lt;&gt;"note de crédit"),VLOOKUP('Val-Dép'!AL40,'Val-Dép'!AL40:AM40,2,FALSE ),"0")</f>
        <v>0</v>
      </c>
      <c r="AF47" s="2890" t="str">
        <f>IF(AND( 'Val-Dép'!H40="Caisse fournis+1an", 'Val-Dép'!I40&lt;&gt;"note de crédit"),VLOOKUP('Val-Dép'!H40,'Val-Dép'!H40:AM40,21,FALSE ),"0")</f>
        <v>0</v>
      </c>
      <c r="AG47" s="2885"/>
      <c r="AH47" s="3784"/>
      <c r="AI47" s="2809"/>
      <c r="AJ47" s="1258"/>
      <c r="AK47" s="1258"/>
    </row>
    <row r="48" spans="1:37" ht="10.95" customHeight="1" thickBot="1" x14ac:dyDescent="0.3">
      <c r="A48" s="2494"/>
      <c r="B48" s="2651" t="s">
        <v>203</v>
      </c>
      <c r="C48" s="3684">
        <f>IF(C47&gt;D47,C47-D47,0)</f>
        <v>0</v>
      </c>
      <c r="D48" s="2655">
        <f>IF(C47&lt;D47,D47-C47,0)</f>
        <v>0</v>
      </c>
      <c r="E48" s="2652"/>
      <c r="F48" s="2652"/>
      <c r="G48" s="2652" t="s">
        <v>203</v>
      </c>
      <c r="H48" s="3684">
        <f>IF(H47&gt;I47,H47-I47,0)</f>
        <v>0</v>
      </c>
      <c r="I48" s="2655">
        <f>IF(H47&lt;I47,I47-H47,0)</f>
        <v>0</v>
      </c>
      <c r="J48" s="2653"/>
      <c r="K48" s="2653"/>
      <c r="L48" s="2653" t="s">
        <v>203</v>
      </c>
      <c r="M48" s="3684">
        <f>IF(M47&gt;N47,M47-N47,0)</f>
        <v>0</v>
      </c>
      <c r="N48" s="2655">
        <f>IF(M47&lt;N47,N47-M47,0)</f>
        <v>0</v>
      </c>
      <c r="O48" s="2653"/>
      <c r="P48" s="1258"/>
      <c r="Q48" s="3676"/>
      <c r="R48" s="3676"/>
      <c r="S48" s="1464"/>
      <c r="T48" s="2886"/>
      <c r="U48" s="2887" t="str">
        <f>IF(AND( 'Val-Dép'!AL41="1750/550", 'Val-Dép'!I41&lt;&gt;"note de crédit"),VLOOKUP('Val-Dép'!AL41,'Val-Dép'!AL41:AM41,2,FALSE ),"0")</f>
        <v>0</v>
      </c>
      <c r="V48" s="2889" t="str">
        <f>IF(AND( 'Val-Dép'!H41="Bq fournis+1an", 'Val-Dép'!I41&lt;&gt;"note de crédit"),VLOOKUP('Val-Dép'!H41,'Val-Dép'!H41:AM41,21,FALSE ),"0")</f>
        <v>0</v>
      </c>
      <c r="W48" s="2884"/>
      <c r="X48" s="2881"/>
      <c r="Y48" s="2888"/>
      <c r="Z48" s="3785" t="str">
        <f>IF(AND( 'Val-Dép'!AL41="1750/560", 'Val-Dép'!I41&lt;&gt;"note de crédit"),VLOOKUP('Val-Dép'!AL41,'Val-Dép'!AL41:AM41,2,FALSE ),"0")</f>
        <v>0</v>
      </c>
      <c r="AA48" s="2889" t="str">
        <f>IF(AND( 'Val-Dép'!H41="Bq post fournis+1an", 'Val-Dép'!I41&lt;&gt;"note de crédit"),VLOOKUP('Val-Dép'!H41,'Val-Dép'!H41:AM41,21,FALSE ),"0")</f>
        <v>0</v>
      </c>
      <c r="AB48" s="2884"/>
      <c r="AC48" s="2884"/>
      <c r="AD48" s="2888"/>
      <c r="AE48" s="2892" t="str">
        <f>IF(AND( 'Val-Dép'!AL41="1750/570", 'Val-Dép'!I41&lt;&gt;"note de crédit"),VLOOKUP('Val-Dép'!AL41,'Val-Dép'!AL41:AM41,2,FALSE ),"0")</f>
        <v>0</v>
      </c>
      <c r="AF48" s="2890" t="str">
        <f>IF(AND( 'Val-Dép'!H41="Caisse fournis+1an", 'Val-Dép'!I41&lt;&gt;"note de crédit"),VLOOKUP('Val-Dép'!H41,'Val-Dép'!H41:AM41,21,FALSE ),"0")</f>
        <v>0</v>
      </c>
      <c r="AG48" s="2885"/>
      <c r="AH48" s="3784"/>
      <c r="AI48" s="2809"/>
      <c r="AJ48" s="1258"/>
      <c r="AK48" s="1258"/>
    </row>
    <row r="49" spans="1:37" ht="10.95" customHeight="1" thickBot="1" x14ac:dyDescent="0.3">
      <c r="A49" s="2494"/>
      <c r="C49" s="3685" t="s">
        <v>369</v>
      </c>
      <c r="D49" s="2551"/>
      <c r="E49" s="2588"/>
      <c r="F49" s="2588"/>
      <c r="H49" s="3685" t="s">
        <v>369</v>
      </c>
      <c r="I49" s="2588"/>
      <c r="J49" s="2588"/>
      <c r="K49" s="2487"/>
      <c r="L49" s="2487"/>
      <c r="M49" s="3685" t="s">
        <v>369</v>
      </c>
      <c r="N49" s="2795"/>
      <c r="O49" s="2494"/>
      <c r="P49" s="3683"/>
      <c r="Q49" s="3681"/>
      <c r="R49" s="3681"/>
      <c r="S49" s="1464"/>
      <c r="T49" s="2886"/>
      <c r="U49" s="2887" t="str">
        <f>IF(AND( 'Val-Dép'!AL42="1750/550", 'Val-Dép'!I42&lt;&gt;"note de crédit"),VLOOKUP('Val-Dép'!AL42,'Val-Dép'!AL42:AM42,2,FALSE ),"0")</f>
        <v>0</v>
      </c>
      <c r="V49" s="2889" t="str">
        <f>IF(AND( 'Val-Dép'!H42="Bq fournis+1an", 'Val-Dép'!I42&lt;&gt;"note de crédit"),VLOOKUP('Val-Dép'!H42,'Val-Dép'!H42:AM42,21,FALSE ),"0")</f>
        <v>0</v>
      </c>
      <c r="W49" s="2884"/>
      <c r="X49" s="2881"/>
      <c r="Y49" s="2888"/>
      <c r="Z49" s="3785" t="str">
        <f>IF(AND( 'Val-Dép'!AL42="1750/560", 'Val-Dép'!I42&lt;&gt;"note de crédit"),VLOOKUP('Val-Dép'!AL42,'Val-Dép'!AL42:AM42,2,FALSE ),"0")</f>
        <v>0</v>
      </c>
      <c r="AA49" s="2889" t="str">
        <f>IF(AND( 'Val-Dép'!H42="Bq post fournis+1an", 'Val-Dép'!I42&lt;&gt;"note de crédit"),VLOOKUP('Val-Dép'!H42,'Val-Dép'!H42:AM42,21,FALSE ),"0")</f>
        <v>0</v>
      </c>
      <c r="AB49" s="2884"/>
      <c r="AC49" s="2884"/>
      <c r="AD49" s="2888"/>
      <c r="AE49" s="2892" t="str">
        <f>IF(AND( 'Val-Dép'!AL42="1750/570", 'Val-Dép'!I42&lt;&gt;"note de crédit"),VLOOKUP('Val-Dép'!AL42,'Val-Dép'!AL42:AM42,2,FALSE ),"0")</f>
        <v>0</v>
      </c>
      <c r="AF49" s="2890" t="str">
        <f>IF(AND( 'Val-Dép'!H42="Caisse fournis+1an", 'Val-Dép'!I42&lt;&gt;"note de crédit"),VLOOKUP('Val-Dép'!H42,'Val-Dép'!H42:AM42,21,FALSE ),"0")</f>
        <v>0</v>
      </c>
      <c r="AG49" s="2885"/>
      <c r="AH49" s="3784"/>
      <c r="AI49" s="2809"/>
      <c r="AJ49" s="1258"/>
      <c r="AK49" s="1258"/>
    </row>
    <row r="50" spans="1:37" ht="10.95" customHeight="1" x14ac:dyDescent="0.25">
      <c r="D50" s="1168"/>
      <c r="E50" s="1080"/>
      <c r="F50" s="1080"/>
      <c r="I50" s="1080"/>
      <c r="J50" s="1080"/>
      <c r="K50" s="1081"/>
      <c r="N50" s="1258"/>
      <c r="P50" s="1258"/>
      <c r="Q50" s="1258"/>
      <c r="R50" s="1258"/>
      <c r="S50" s="1464"/>
      <c r="T50" s="2886"/>
      <c r="U50" s="2887" t="str">
        <f>IF(AND( 'Val-Dép'!AL43="1750/550", 'Val-Dép'!I43&lt;&gt;"note de crédit"),VLOOKUP('Val-Dép'!AL43,'Val-Dép'!AL43:AM43,2,FALSE ),"0")</f>
        <v>0</v>
      </c>
      <c r="V50" s="2889" t="str">
        <f>IF(AND( 'Val-Dép'!H43="Bq fournis+1an", 'Val-Dép'!I43&lt;&gt;"note de crédit"),VLOOKUP('Val-Dép'!H43,'Val-Dép'!H43:AM43,21,FALSE ),"0")</f>
        <v>0</v>
      </c>
      <c r="W50" s="2884"/>
      <c r="X50" s="2881"/>
      <c r="Y50" s="2888"/>
      <c r="Z50" s="3785" t="str">
        <f>IF(AND( 'Val-Dép'!AL43="1750/560", 'Val-Dép'!I43&lt;&gt;"note de crédit"),VLOOKUP('Val-Dép'!AL43,'Val-Dép'!AL43:AM43,2,FALSE ),"0")</f>
        <v>0</v>
      </c>
      <c r="AA50" s="2889" t="str">
        <f>IF(AND( 'Val-Dép'!H43="Bq post fournis+1an", 'Val-Dép'!I43&lt;&gt;"note de crédit"),VLOOKUP('Val-Dép'!H43,'Val-Dép'!H43:AM43,21,FALSE ),"0")</f>
        <v>0</v>
      </c>
      <c r="AB50" s="2884"/>
      <c r="AC50" s="2884"/>
      <c r="AD50" s="2888"/>
      <c r="AE50" s="2892" t="str">
        <f>IF(AND( 'Val-Dép'!AL43="1750/570", 'Val-Dép'!I43&lt;&gt;"note de crédit"),VLOOKUP('Val-Dép'!AL43,'Val-Dép'!AL43:AM43,2,FALSE ),"0")</f>
        <v>0</v>
      </c>
      <c r="AF50" s="2890" t="str">
        <f>IF(AND( 'Val-Dép'!H43="Caisse fournis+1an", 'Val-Dép'!I43&lt;&gt;"note de crédit"),VLOOKUP('Val-Dép'!H43,'Val-Dép'!H43:AM43,21,FALSE ),"0")</f>
        <v>0</v>
      </c>
      <c r="AG50" s="2885"/>
      <c r="AH50" s="3784"/>
      <c r="AI50" s="2809"/>
      <c r="AJ50" s="1258"/>
      <c r="AK50" s="1258"/>
    </row>
    <row r="51" spans="1:37" ht="10.95" customHeight="1" x14ac:dyDescent="0.25">
      <c r="B51" s="1081"/>
      <c r="C51" s="4040" t="s">
        <v>2338</v>
      </c>
      <c r="D51" s="4040"/>
      <c r="E51" s="1080"/>
      <c r="F51" s="1080"/>
      <c r="G51" s="1080"/>
      <c r="H51" s="4040" t="s">
        <v>2338</v>
      </c>
      <c r="I51" s="4040"/>
      <c r="J51" s="1080"/>
      <c r="K51" s="1081"/>
      <c r="M51" s="4040" t="s">
        <v>2338</v>
      </c>
      <c r="N51" s="4040"/>
      <c r="P51" s="1258"/>
      <c r="Q51" s="3675"/>
      <c r="R51" s="3675"/>
      <c r="S51" s="1464"/>
      <c r="T51" s="2886"/>
      <c r="U51" s="2887" t="str">
        <f>IF(AND( 'Val-Dép'!AL44="1750/550", 'Val-Dép'!I44&lt;&gt;"note de crédit"),VLOOKUP('Val-Dép'!AL44,'Val-Dép'!AL44:AM44,2,FALSE ),"0")</f>
        <v>0</v>
      </c>
      <c r="V51" s="2889" t="str">
        <f>IF(AND( 'Val-Dép'!H44="Bq fournis+1an", 'Val-Dép'!I44&lt;&gt;"note de crédit"),VLOOKUP('Val-Dép'!H44,'Val-Dép'!H44:AM44,21,FALSE ),"0")</f>
        <v>0</v>
      </c>
      <c r="W51" s="2884"/>
      <c r="X51" s="2881"/>
      <c r="Y51" s="2888"/>
      <c r="Z51" s="3785" t="str">
        <f>IF(AND( 'Val-Dép'!AL44="1750/560", 'Val-Dép'!I44&lt;&gt;"note de crédit"),VLOOKUP('Val-Dép'!AL44,'Val-Dép'!AL44:AM44,2,FALSE ),"0")</f>
        <v>0</v>
      </c>
      <c r="AA51" s="2889" t="str">
        <f>IF(AND( 'Val-Dép'!H44="Bq post fournis+1an", 'Val-Dép'!I44&lt;&gt;"note de crédit"),VLOOKUP('Val-Dép'!H44,'Val-Dép'!H44:AM44,21,FALSE ),"0")</f>
        <v>0</v>
      </c>
      <c r="AB51" s="2884"/>
      <c r="AC51" s="2884"/>
      <c r="AD51" s="2888"/>
      <c r="AE51" s="2892" t="str">
        <f>IF(AND( 'Val-Dép'!AL44="1750/570", 'Val-Dép'!I44&lt;&gt;"note de crédit"),VLOOKUP('Val-Dép'!AL44,'Val-Dép'!AL44:AM44,2,FALSE ),"0")</f>
        <v>0</v>
      </c>
      <c r="AF51" s="2890" t="str">
        <f>IF(AND( 'Val-Dép'!H44="Caisse fournis+1an", 'Val-Dép'!I44&lt;&gt;"note de crédit"),VLOOKUP('Val-Dép'!H44,'Val-Dép'!H44:AM44,21,FALSE ),"0")</f>
        <v>0</v>
      </c>
      <c r="AG51" s="2885"/>
      <c r="AH51" s="3784"/>
      <c r="AI51" s="2809"/>
      <c r="AJ51" s="1258"/>
      <c r="AK51" s="1258"/>
    </row>
    <row r="52" spans="1:37" ht="10.95" customHeight="1" thickBot="1" x14ac:dyDescent="0.35">
      <c r="B52" s="1081"/>
      <c r="C52" s="2798" t="s">
        <v>2340</v>
      </c>
      <c r="E52" s="1080"/>
      <c r="F52" s="1080"/>
      <c r="G52" s="1080"/>
      <c r="H52" s="2681" t="s">
        <v>2341</v>
      </c>
      <c r="J52" s="1080"/>
      <c r="K52" s="1081"/>
      <c r="M52" s="2799" t="s">
        <v>171</v>
      </c>
      <c r="N52" s="1258"/>
      <c r="P52" s="1258"/>
      <c r="Q52" s="3676"/>
      <c r="R52" s="3676"/>
      <c r="S52" s="1464"/>
      <c r="T52" s="2886"/>
      <c r="U52" s="2887" t="str">
        <f>IF(AND( 'Val-Dép'!AL45="1750/550", 'Val-Dép'!I45&lt;&gt;"note de crédit"),VLOOKUP('Val-Dép'!AL45,'Val-Dép'!AL45:AM45,2,FALSE ),"0")</f>
        <v>0</v>
      </c>
      <c r="V52" s="2889" t="str">
        <f>IF(AND( 'Val-Dép'!H45="Bq fournis+1an", 'Val-Dép'!I45&lt;&gt;"note de crédit"),VLOOKUP('Val-Dép'!H45,'Val-Dép'!H45:AM45,21,FALSE ),"0")</f>
        <v>0</v>
      </c>
      <c r="W52" s="2884"/>
      <c r="X52" s="2881"/>
      <c r="Y52" s="2888"/>
      <c r="Z52" s="3785" t="str">
        <f>IF(AND( 'Val-Dép'!AL45="1750/560", 'Val-Dép'!I45&lt;&gt;"note de crédit"),VLOOKUP('Val-Dép'!AL45,'Val-Dép'!AL45:AM45,2,FALSE ),"0")</f>
        <v>0</v>
      </c>
      <c r="AA52" s="2889" t="str">
        <f>IF(AND( 'Val-Dép'!H45="Bq post fournis+1an", 'Val-Dép'!I45&lt;&gt;"note de crédit"),VLOOKUP('Val-Dép'!H45,'Val-Dép'!H45:AM45,21,FALSE ),"0")</f>
        <v>0</v>
      </c>
      <c r="AB52" s="2884"/>
      <c r="AC52" s="2884"/>
      <c r="AD52" s="2888"/>
      <c r="AE52" s="2892" t="str">
        <f>IF(AND( 'Val-Dép'!AL45="1750/570", 'Val-Dép'!I45&lt;&gt;"note de crédit"),VLOOKUP('Val-Dép'!AL45,'Val-Dép'!AL45:AM45,2,FALSE ),"0")</f>
        <v>0</v>
      </c>
      <c r="AF52" s="2890" t="str">
        <f>IF(AND( 'Val-Dép'!H45="Caisse fournis+1an", 'Val-Dép'!I45&lt;&gt;"note de crédit"),VLOOKUP('Val-Dép'!H45,'Val-Dép'!H45:AM45,21,FALSE ),"0")</f>
        <v>0</v>
      </c>
      <c r="AG52" s="2885"/>
      <c r="AH52" s="3784"/>
      <c r="AI52" s="2809"/>
      <c r="AJ52" s="1258"/>
      <c r="AK52" s="1258"/>
    </row>
    <row r="53" spans="1:37" ht="10.95" customHeight="1" thickBot="1" x14ac:dyDescent="0.35">
      <c r="B53" s="1081"/>
      <c r="C53" s="1168"/>
      <c r="D53" s="1168"/>
      <c r="E53" s="1080"/>
      <c r="F53" s="1080"/>
      <c r="G53" s="1080"/>
      <c r="H53" s="1080"/>
      <c r="I53" s="1080"/>
      <c r="J53" s="1080"/>
      <c r="K53" s="1081"/>
      <c r="M53" s="2266"/>
      <c r="N53" s="1258"/>
      <c r="P53" s="3683"/>
      <c r="Q53" s="1126"/>
      <c r="R53" s="1126"/>
      <c r="S53" s="1464"/>
      <c r="T53" s="2893"/>
      <c r="U53" s="2887" t="str">
        <f>IF(AND( 'Val-Dép'!AL46="1750/550", 'Val-Dép'!I46&lt;&gt;"note de crédit"),VLOOKUP('Val-Dép'!AL46,'Val-Dép'!AL46:AM46,2,FALSE ),"0")</f>
        <v>0</v>
      </c>
      <c r="V53" s="2894">
        <f>SUM(U41:U52)</f>
        <v>0</v>
      </c>
      <c r="W53" s="2895"/>
      <c r="X53" s="2896"/>
      <c r="Y53" s="2897"/>
      <c r="Z53" s="2898"/>
      <c r="AA53" s="2899"/>
      <c r="AB53" s="2900"/>
      <c r="AC53" s="2884"/>
      <c r="AD53" s="2901"/>
      <c r="AE53" s="2898"/>
      <c r="AF53" s="2902"/>
      <c r="AG53" s="2903"/>
      <c r="AH53" s="1573"/>
      <c r="AI53" s="1081"/>
      <c r="AJ53" s="1258"/>
      <c r="AK53" s="1258"/>
    </row>
    <row r="54" spans="1:37" ht="14.4" customHeight="1" thickTop="1" x14ac:dyDescent="0.25">
      <c r="K54" s="1081"/>
      <c r="M54" s="1258"/>
      <c r="N54" s="1258"/>
      <c r="P54" s="1258"/>
      <c r="Q54" s="1258"/>
      <c r="R54" s="1258"/>
      <c r="S54" s="1464"/>
      <c r="T54" s="2904"/>
      <c r="U54" s="2906">
        <f>SUM(U42:U53)</f>
        <v>0</v>
      </c>
      <c r="V54" s="2905">
        <f>SUM(V41:V53)</f>
        <v>0</v>
      </c>
      <c r="W54" s="2906"/>
      <c r="X54" s="2907"/>
      <c r="Y54" s="2907"/>
      <c r="Z54" s="2908">
        <f>SUM(Z42:Z53)</f>
        <v>0</v>
      </c>
      <c r="AA54" s="2909">
        <f>SUM(AA42:AA53)</f>
        <v>0</v>
      </c>
      <c r="AB54" s="2907"/>
      <c r="AC54" s="2907"/>
      <c r="AD54" s="2907"/>
      <c r="AE54" s="2906">
        <f>SUM(AE42:AE53)</f>
        <v>0</v>
      </c>
      <c r="AF54" s="2906">
        <f>SUM(AF42:AF52)</f>
        <v>0</v>
      </c>
      <c r="AG54" s="2885"/>
      <c r="AH54" s="1573"/>
      <c r="AI54" s="1081"/>
      <c r="AJ54" s="1258"/>
      <c r="AK54" s="1258"/>
    </row>
    <row r="55" spans="1:37" ht="14.4" customHeight="1" thickBot="1" x14ac:dyDescent="0.35">
      <c r="E55" s="4085" t="s">
        <v>2469</v>
      </c>
      <c r="F55" s="4085"/>
      <c r="G55" s="4085"/>
      <c r="H55" s="4085"/>
      <c r="I55" s="4085"/>
      <c r="J55" s="4085"/>
      <c r="K55" s="4085"/>
      <c r="L55" s="4085"/>
      <c r="M55" s="4085"/>
      <c r="N55" s="1258"/>
      <c r="S55" s="1464"/>
      <c r="T55" s="2910"/>
      <c r="U55" s="2791">
        <f>IF(U54&gt;V54,U54-V54,0)</f>
        <v>0</v>
      </c>
      <c r="V55" s="2791">
        <f>IF(U54&lt;V54,V54-U54,0)</f>
        <v>0</v>
      </c>
      <c r="W55" s="2529" t="s">
        <v>189</v>
      </c>
      <c r="X55" s="2529"/>
      <c r="Y55" s="2529"/>
      <c r="Z55" s="2791">
        <f>IF(Z54&gt;AA54,Z54-AA54,0)</f>
        <v>0</v>
      </c>
      <c r="AA55" s="2791">
        <f>IF(Z54&lt;AA54,AA54-Z54,0)</f>
        <v>0</v>
      </c>
      <c r="AB55" s="2529" t="s">
        <v>189</v>
      </c>
      <c r="AC55" s="2529"/>
      <c r="AD55" s="2529"/>
      <c r="AE55" s="2791">
        <f>IF(AE54&gt;AF54,AE54-AF54,0)</f>
        <v>0</v>
      </c>
      <c r="AF55" s="2791">
        <f>IF(AE54&lt;AF54,AF54-AE54,0)</f>
        <v>0</v>
      </c>
      <c r="AG55" s="2885" t="s">
        <v>189</v>
      </c>
      <c r="AH55" s="1573"/>
      <c r="AI55" s="1081"/>
      <c r="AJ55" s="1258"/>
      <c r="AK55" s="1258"/>
    </row>
    <row r="56" spans="1:37" ht="10.95" customHeight="1" thickBot="1" x14ac:dyDescent="0.3">
      <c r="A56" s="2494"/>
      <c r="B56" s="4011" t="s">
        <v>1990</v>
      </c>
      <c r="C56" s="4012"/>
      <c r="D56" s="4015" t="s">
        <v>2510</v>
      </c>
      <c r="E56" s="4016"/>
      <c r="F56" s="2553"/>
      <c r="G56" s="4011" t="s">
        <v>1990</v>
      </c>
      <c r="H56" s="4012"/>
      <c r="I56" s="4015" t="s">
        <v>2510</v>
      </c>
      <c r="J56" s="4016"/>
      <c r="K56" s="2494"/>
      <c r="L56" s="4011" t="s">
        <v>1990</v>
      </c>
      <c r="M56" s="4012"/>
      <c r="N56" s="4015" t="s">
        <v>2510</v>
      </c>
      <c r="O56" s="4016"/>
      <c r="S56" s="1464"/>
      <c r="T56" s="2911"/>
      <c r="U56" s="2865"/>
      <c r="V56" s="4034" t="s">
        <v>2388</v>
      </c>
      <c r="W56" s="4035"/>
      <c r="X56" s="4035"/>
      <c r="Y56" s="4035"/>
      <c r="Z56" s="4035"/>
      <c r="AA56" s="4035"/>
      <c r="AB56" s="4035"/>
      <c r="AC56" s="4035"/>
      <c r="AD56" s="4035"/>
      <c r="AE56" s="2912"/>
      <c r="AF56" s="2913">
        <f>SUM(V55,AA55,AF55)</f>
        <v>0</v>
      </c>
      <c r="AG56" s="2914" t="s">
        <v>2327</v>
      </c>
      <c r="AH56" s="1573"/>
      <c r="AI56" s="1081"/>
      <c r="AJ56" s="1258"/>
      <c r="AK56" s="1258"/>
    </row>
    <row r="57" spans="1:37" ht="10.95" customHeight="1" thickBot="1" x14ac:dyDescent="0.3">
      <c r="A57" s="2494"/>
      <c r="B57" s="4021" t="s">
        <v>1991</v>
      </c>
      <c r="C57" s="4022"/>
      <c r="D57" s="4017"/>
      <c r="E57" s="4018"/>
      <c r="F57" s="2554"/>
      <c r="G57" s="4021" t="s">
        <v>1991</v>
      </c>
      <c r="H57" s="4022"/>
      <c r="I57" s="4017"/>
      <c r="J57" s="4018"/>
      <c r="K57" s="2591"/>
      <c r="L57" s="4021" t="s">
        <v>1991</v>
      </c>
      <c r="M57" s="4022"/>
      <c r="N57" s="4017"/>
      <c r="O57" s="4018"/>
      <c r="P57" s="2494"/>
      <c r="S57" s="1471"/>
      <c r="T57" s="3786"/>
      <c r="U57" s="3787"/>
      <c r="V57" s="3788"/>
      <c r="W57" s="3789"/>
      <c r="X57" s="3789"/>
      <c r="Y57" s="3789"/>
      <c r="Z57" s="3789"/>
      <c r="AA57" s="3789"/>
      <c r="AB57" s="3789"/>
      <c r="AC57" s="3789"/>
      <c r="AD57" s="3789"/>
      <c r="AE57" s="3790"/>
      <c r="AF57" s="3791"/>
      <c r="AG57" s="3792"/>
      <c r="AH57" s="3657"/>
      <c r="AI57" s="1081"/>
      <c r="AJ57" s="1258"/>
      <c r="AK57" s="1258"/>
    </row>
    <row r="58" spans="1:37" ht="10.95" customHeight="1" thickBot="1" x14ac:dyDescent="0.3">
      <c r="A58" s="2494"/>
      <c r="B58" s="4023" t="s">
        <v>2321</v>
      </c>
      <c r="C58" s="4024"/>
      <c r="D58" s="4019" t="s">
        <v>2322</v>
      </c>
      <c r="E58" s="4020"/>
      <c r="F58" s="2548"/>
      <c r="G58" s="4023" t="s">
        <v>2323</v>
      </c>
      <c r="H58" s="4024"/>
      <c r="I58" s="4019" t="s">
        <v>2324</v>
      </c>
      <c r="J58" s="4020"/>
      <c r="K58" s="2548"/>
      <c r="L58" s="4023" t="s">
        <v>2325</v>
      </c>
      <c r="M58" s="4024"/>
      <c r="N58" s="4019" t="s">
        <v>2326</v>
      </c>
      <c r="O58" s="4020"/>
      <c r="P58" s="2588"/>
      <c r="T58" s="2911"/>
      <c r="U58" s="2865"/>
      <c r="V58" s="3692"/>
      <c r="W58" s="3693"/>
      <c r="X58" s="3693"/>
      <c r="Y58" s="3693"/>
      <c r="Z58" s="3693"/>
      <c r="AA58" s="3693"/>
      <c r="AB58" s="3693"/>
      <c r="AC58" s="3693"/>
      <c r="AD58" s="3693"/>
      <c r="AE58" s="2912"/>
      <c r="AF58" s="3674"/>
      <c r="AG58" s="3665"/>
      <c r="AH58" s="1081"/>
      <c r="AI58" s="1081"/>
      <c r="AJ58" s="1258"/>
      <c r="AK58" s="1258"/>
    </row>
    <row r="59" spans="1:37" ht="10.95" customHeight="1" thickTop="1" thickBot="1" x14ac:dyDescent="0.3">
      <c r="A59" s="2494"/>
      <c r="B59" s="4108" t="s">
        <v>217</v>
      </c>
      <c r="C59" s="4109"/>
      <c r="D59" s="4009" t="s">
        <v>216</v>
      </c>
      <c r="E59" s="4010"/>
      <c r="F59" s="2549"/>
      <c r="G59" s="2487"/>
      <c r="H59" s="2507"/>
      <c r="I59" s="2507"/>
      <c r="J59" s="2487"/>
      <c r="K59" s="2487"/>
      <c r="L59" s="2487"/>
      <c r="M59" s="2487"/>
      <c r="N59" s="2487"/>
      <c r="O59" s="2487"/>
      <c r="P59" s="2487"/>
      <c r="S59" s="3643"/>
      <c r="T59" s="3737"/>
      <c r="U59" s="3738"/>
      <c r="V59" s="3739"/>
      <c r="W59" s="3740"/>
      <c r="X59" s="3740"/>
      <c r="Y59" s="3740"/>
      <c r="Z59" s="3740"/>
      <c r="AA59" s="3740"/>
      <c r="AB59" s="3740"/>
      <c r="AC59" s="3740"/>
      <c r="AD59" s="3740"/>
      <c r="AE59" s="3741"/>
      <c r="AF59" s="3742"/>
      <c r="AG59" s="3743"/>
      <c r="AH59" s="1565"/>
      <c r="AI59" s="1081"/>
      <c r="AJ59" s="1258"/>
      <c r="AK59" s="1258"/>
    </row>
    <row r="60" spans="1:37" ht="10.95" customHeight="1" thickTop="1" x14ac:dyDescent="0.25">
      <c r="A60" s="2494"/>
      <c r="B60" s="2676"/>
      <c r="C60" s="2677"/>
      <c r="D60" s="3807" t="s">
        <v>214</v>
      </c>
      <c r="E60" s="2487"/>
      <c r="F60" s="2551"/>
      <c r="G60" s="2487" t="s">
        <v>1681</v>
      </c>
      <c r="I60" s="3808" t="s">
        <v>214</v>
      </c>
      <c r="J60" s="2487"/>
      <c r="K60" s="2487"/>
      <c r="L60" s="2487" t="s">
        <v>1682</v>
      </c>
      <c r="N60" s="3808" t="s">
        <v>214</v>
      </c>
      <c r="O60" s="2550"/>
      <c r="P60" s="2494"/>
      <c r="S60" s="1464"/>
      <c r="T60" s="4111" t="s">
        <v>2493</v>
      </c>
      <c r="U60" s="4111"/>
      <c r="V60" s="4111"/>
      <c r="W60" s="4111"/>
      <c r="X60" s="4111"/>
      <c r="Y60" s="4111"/>
      <c r="Z60" s="4111"/>
      <c r="AA60" s="4111"/>
      <c r="AB60" s="4111"/>
      <c r="AC60" s="4111"/>
      <c r="AD60" s="4111"/>
      <c r="AE60" s="4111"/>
      <c r="AF60" s="4111"/>
      <c r="AG60" s="4111"/>
      <c r="AH60" s="1573"/>
      <c r="AI60" s="1081"/>
      <c r="AJ60" s="1258"/>
      <c r="AK60" s="1258"/>
    </row>
    <row r="61" spans="1:37" ht="10.95" customHeight="1" x14ac:dyDescent="0.25">
      <c r="A61" s="2494"/>
      <c r="B61" s="4092" t="s">
        <v>2473</v>
      </c>
      <c r="C61" s="4083"/>
      <c r="D61" s="4083"/>
      <c r="E61" s="4083"/>
      <c r="F61" s="2551"/>
      <c r="G61" s="4083" t="s">
        <v>2474</v>
      </c>
      <c r="H61" s="4083"/>
      <c r="I61" s="4083"/>
      <c r="J61" s="4083"/>
      <c r="K61" s="2487"/>
      <c r="L61" s="4083" t="s">
        <v>2475</v>
      </c>
      <c r="M61" s="4083"/>
      <c r="N61" s="4083"/>
      <c r="O61" s="4084"/>
      <c r="P61" s="2494"/>
      <c r="S61" s="1464"/>
      <c r="T61" s="3762"/>
      <c r="U61" s="3763" t="s">
        <v>1873</v>
      </c>
      <c r="V61" s="3764" t="s">
        <v>1872</v>
      </c>
      <c r="W61" s="3764"/>
      <c r="X61" s="3495"/>
      <c r="Y61" s="3762"/>
      <c r="Z61" s="3689" t="s">
        <v>2461</v>
      </c>
      <c r="AA61" s="3764" t="s">
        <v>1872</v>
      </c>
      <c r="AB61" s="3764"/>
      <c r="AC61" s="3495"/>
      <c r="AD61" s="3762"/>
      <c r="AE61" s="2892" t="s">
        <v>1875</v>
      </c>
      <c r="AF61" s="2892" t="s">
        <v>1872</v>
      </c>
      <c r="AG61" s="3764"/>
      <c r="AH61" s="1573"/>
      <c r="AI61" s="1081"/>
      <c r="AJ61" s="1258"/>
      <c r="AK61" s="1258"/>
    </row>
    <row r="62" spans="1:37" ht="10.95" customHeight="1" thickBot="1" x14ac:dyDescent="0.3">
      <c r="A62" s="2494"/>
      <c r="B62" s="2555" t="s">
        <v>195</v>
      </c>
      <c r="C62" s="3623">
        <v>440</v>
      </c>
      <c r="D62" s="2794" t="s">
        <v>2369</v>
      </c>
      <c r="E62" s="2556" t="s">
        <v>193</v>
      </c>
      <c r="G62" s="2487" t="s">
        <v>195</v>
      </c>
      <c r="H62" s="3624">
        <v>440</v>
      </c>
      <c r="I62" s="2794" t="s">
        <v>2369</v>
      </c>
      <c r="J62" s="2508" t="s">
        <v>193</v>
      </c>
      <c r="L62" s="2487" t="s">
        <v>195</v>
      </c>
      <c r="M62" s="3624">
        <v>440</v>
      </c>
      <c r="N62" s="2794" t="s">
        <v>2369</v>
      </c>
      <c r="O62" s="2552" t="s">
        <v>193</v>
      </c>
      <c r="P62" s="2494"/>
      <c r="S62" s="1464"/>
      <c r="T62" s="3694" t="s">
        <v>195</v>
      </c>
      <c r="U62" s="3762">
        <v>430</v>
      </c>
      <c r="V62" s="3727" t="s">
        <v>2490</v>
      </c>
      <c r="W62" s="3730" t="s">
        <v>193</v>
      </c>
      <c r="X62" s="3495"/>
      <c r="Y62" s="3731" t="s">
        <v>195</v>
      </c>
      <c r="Z62" s="3762">
        <v>430</v>
      </c>
      <c r="AA62" s="3727" t="s">
        <v>2490</v>
      </c>
      <c r="AB62" s="3728" t="s">
        <v>193</v>
      </c>
      <c r="AC62" s="3495"/>
      <c r="AD62" s="3731" t="s">
        <v>195</v>
      </c>
      <c r="AE62" s="3762">
        <v>430</v>
      </c>
      <c r="AF62" s="3727" t="s">
        <v>2490</v>
      </c>
      <c r="AG62" s="3728" t="s">
        <v>193</v>
      </c>
      <c r="AH62" s="1573"/>
      <c r="AI62" s="1081"/>
      <c r="AJ62" s="1258"/>
      <c r="AK62" s="1258"/>
    </row>
    <row r="63" spans="1:37" ht="10.95" customHeight="1" x14ac:dyDescent="0.25">
      <c r="B63" s="2599"/>
      <c r="D63" s="2600">
        <f>IF(ISNA(VLOOKUP($D$62,'VAL-INIT'!$J$4:$L$63,3,FALSE)),,VLOOKUP($D$62,'VAL-INIT'!$J$4:$L$63,3,FALSE))</f>
        <v>5750</v>
      </c>
      <c r="E63" s="2622" t="s">
        <v>1643</v>
      </c>
      <c r="F63" s="2602"/>
      <c r="G63" s="2603"/>
      <c r="H63" s="2600" t="s">
        <v>2314</v>
      </c>
      <c r="I63" s="2604"/>
      <c r="J63" s="2601"/>
      <c r="K63" s="2601"/>
      <c r="L63" s="2601"/>
      <c r="M63" s="2600" t="s">
        <v>2291</v>
      </c>
      <c r="N63" s="2601"/>
      <c r="O63" s="2605"/>
      <c r="P63" s="2494"/>
      <c r="S63" s="1464"/>
      <c r="T63" s="3732"/>
      <c r="U63" s="3729" t="s">
        <v>223</v>
      </c>
      <c r="V63" s="3735">
        <f>IF(ISNA(VLOOKUP($V$62,'VAL-INIT'!$J$4:$L$63,3,FALSE)),,VLOOKUP($V$62,'VAL-INIT'!$J$4:$L$63,3,FALSE))</f>
        <v>0</v>
      </c>
      <c r="W63" s="3733" t="s">
        <v>207</v>
      </c>
      <c r="X63" s="3495"/>
      <c r="Y63" s="3732"/>
      <c r="Z63" s="3729" t="s">
        <v>2460</v>
      </c>
      <c r="AA63" s="3735">
        <f>IF(ISNA(VLOOKUP($AA$62,'VAL-INIT'!$J$4:$L$63,3,FALSE)),,VLOOKUP($AA$62,'VAL-INIT'!$J$4:$L$63,3,FALSE))</f>
        <v>0</v>
      </c>
      <c r="AB63" s="3734" t="s">
        <v>207</v>
      </c>
      <c r="AC63" s="3495"/>
      <c r="AD63" s="3732"/>
      <c r="AE63" s="3729" t="s">
        <v>223</v>
      </c>
      <c r="AF63" s="3762">
        <f>IF(ISNA(VLOOKUP($AF$62,'VAL-INIT'!$J$4:$L$63,3,FALSE)),,VLOOKUP($AF$62,'VAL-INIT'!$J$4:$L$63,3,FALSE))</f>
        <v>0</v>
      </c>
      <c r="AG63" s="3734" t="s">
        <v>207</v>
      </c>
      <c r="AH63" s="1573"/>
      <c r="AI63" s="1081"/>
      <c r="AJ63" s="1258"/>
      <c r="AK63" s="1258"/>
    </row>
    <row r="64" spans="1:37" ht="10.95" customHeight="1" x14ac:dyDescent="0.3">
      <c r="B64" s="1312">
        <v>1</v>
      </c>
      <c r="C64" s="2619">
        <f>IF(AND( 'Val-Dép'!AL35="440/550", 'Val-Dép'!I35&lt;&gt;"note de crédit"),VLOOKUP('Val-Dép'!AL35,'Val-Dép'!AL35:AM35,2,FALSE ),"0")</f>
        <v>0</v>
      </c>
      <c r="D64" s="2857">
        <f>IF(AND( 'Val-Dép'!H35="Bq fournis-1an", 'Val-Dép'!I35&lt;&gt;"note de crédit"),VLOOKUP('Val-Dép'!H35,'Val-Dép'!H35:AM35,21,FALSE ),"0")</f>
        <v>750</v>
      </c>
      <c r="E64" s="2601"/>
      <c r="F64" s="2602"/>
      <c r="G64" s="2606"/>
      <c r="H64" s="2620" t="str">
        <f>IF(AND( 'Val-Dép'!AL35="440/560", 'Val-Dép'!I35&lt;&gt;"note de crédit"),VLOOKUP('Val-Dép'!AL35,'Val-Dép'!AL35:AM35,2,FALSE ),"0")</f>
        <v>0</v>
      </c>
      <c r="I64" s="2607" t="str">
        <f>IF(AND( 'Val-Dép'!H35="Bq post fournis-1an", 'Val-Dép'!I35&lt;&gt;"note de crédit"),VLOOKUP('Val-Dép'!H35,'Val-Dép'!H35:AM35,21,FALSE ),"0")</f>
        <v>0</v>
      </c>
      <c r="J64" s="2601"/>
      <c r="K64" s="2601"/>
      <c r="L64" s="2606"/>
      <c r="M64" s="2621" t="str">
        <f>IF(AND( 'Val-Dép'!AL35="440/570", 'Val-Dép'!I35&lt;&gt;"note de crédit"),VLOOKUP('Val-Dép'!AL35,'Val-Dép'!AL35:AM35,2,FALSE ),"0")</f>
        <v>0</v>
      </c>
      <c r="N64" s="3704" t="str">
        <f>IF(AND( 'Val-Dép'!H35="Caisse fournis-1an", 'Val-Dép'!I35&lt;&gt;"note de crédit"),VLOOKUP('Val-Dép'!H35,'Val-Dép'!H35:AM35,21,FALSE ),"0")</f>
        <v>0</v>
      </c>
      <c r="O64" s="2605"/>
      <c r="S64" s="1464"/>
      <c r="T64" s="3582">
        <f>'[1]Val-Dép'!E25</f>
        <v>17012</v>
      </c>
      <c r="U64" s="1141" t="str">
        <f>IF(( 'Val-Dép'!L25="Crédit-banq" ),'Val-Dép'!AQ25,"0")</f>
        <v>0</v>
      </c>
      <c r="V64" s="3703" t="str">
        <f>IF(('Val-Dép'!L25="Crédit-banq"),'Val-Dép'!W25,"0")</f>
        <v>0</v>
      </c>
      <c r="W64" s="1095"/>
      <c r="X64" s="1081"/>
      <c r="Y64" s="2487"/>
      <c r="Z64" s="1141"/>
      <c r="AA64" s="3701"/>
      <c r="AB64" s="1095"/>
      <c r="AC64" s="1081"/>
      <c r="AD64" s="2487"/>
      <c r="AE64" s="1141"/>
      <c r="AF64" s="1100"/>
      <c r="AG64" s="1095"/>
      <c r="AH64" s="1573"/>
      <c r="AI64" s="1081"/>
      <c r="AJ64" s="1258"/>
      <c r="AK64" s="1258"/>
    </row>
    <row r="65" spans="2:37" ht="10.95" customHeight="1" x14ac:dyDescent="0.25">
      <c r="B65" s="1312"/>
      <c r="C65" s="2619">
        <f>IF(AND( 'Val-Dép'!AL36="440/550", 'Val-Dép'!I36&lt;&gt;"note de crédit"),VLOOKUP('Val-Dép'!AL36,'Val-Dép'!AL36:AM36,2,FALSE ),"0")</f>
        <v>0</v>
      </c>
      <c r="D65" s="2857">
        <f>IF(AND( 'Val-Dép'!H36="Bq fournis-1an", 'Val-Dép'!I36&lt;&gt;"note de crédit"),VLOOKUP('Val-Dép'!H36,'Val-Dép'!H36:AM36,21,FALSE ),"0")</f>
        <v>5000</v>
      </c>
      <c r="E65" s="2601"/>
      <c r="F65" s="2602"/>
      <c r="G65" s="2606"/>
      <c r="H65" s="2620" t="str">
        <f>IF(AND( 'Val-Dép'!AL36="440/560", 'Val-Dép'!I36&lt;&gt;"note de crédit"),VLOOKUP('Val-Dép'!AL36,'Val-Dép'!AL36:AM36,2,FALSE ),"0")</f>
        <v>0</v>
      </c>
      <c r="I65" s="2607" t="str">
        <f>IF(AND( 'Val-Dép'!H36="Bq post fournis-1an", 'Val-Dép'!I36&lt;&gt;"note de crédit"),VLOOKUP('Val-Dép'!H36,'Val-Dép'!H36:AM36,21,FALSE ),"0")</f>
        <v>0</v>
      </c>
      <c r="J65" s="2601"/>
      <c r="K65" s="2601"/>
      <c r="L65" s="2606"/>
      <c r="M65" s="2621" t="str">
        <f>IF(AND( 'Val-Dép'!AL36="440/570", 'Val-Dép'!I36&lt;&gt;"note de crédit"),VLOOKUP('Val-Dép'!AL36,'Val-Dép'!AL36:AM36,2,FALSE ),"0")</f>
        <v>0</v>
      </c>
      <c r="N65" s="2857" t="str">
        <f>IF(AND( 'Val-Dép'!H36="Caisse fournis-1an", 'Val-Dép'!I36&lt;&gt;"note de crédit"),VLOOKUP('Val-Dép'!H36,'Val-Dép'!H36:AM36,21,FALSE ),"0")</f>
        <v>0</v>
      </c>
      <c r="O65" s="2605"/>
      <c r="S65" s="1464"/>
      <c r="T65" s="2487"/>
      <c r="U65" s="1141" t="str">
        <f>IF(( 'Val-Dép'!L26="Crédit-banq" ),'Val-Dép'!AQ26,"0")</f>
        <v>0</v>
      </c>
      <c r="V65" s="3701" t="str">
        <f>IF(('Val-Dép'!L26="Crédit-banq"),'Val-Dép'!W26,"0")</f>
        <v>0</v>
      </c>
      <c r="W65" s="1095"/>
      <c r="X65" s="1081"/>
      <c r="Y65" s="2487"/>
      <c r="Z65" s="1141"/>
      <c r="AA65" s="3701"/>
      <c r="AB65" s="1095"/>
      <c r="AC65" s="1081"/>
      <c r="AD65" s="2487"/>
      <c r="AE65" s="1141"/>
      <c r="AF65" s="1100"/>
      <c r="AG65" s="1095"/>
      <c r="AH65" s="1573"/>
      <c r="AI65" s="1081"/>
      <c r="AJ65" s="1258"/>
      <c r="AK65" s="1258"/>
    </row>
    <row r="66" spans="2:37" ht="10.95" customHeight="1" x14ac:dyDescent="0.25">
      <c r="B66" s="1312">
        <v>4</v>
      </c>
      <c r="C66" s="2619" t="str">
        <f>IF(AND( 'Val-Dép'!AL37="440/550", 'Val-Dép'!I37&lt;&gt;"note de crédit"),VLOOKUP('Val-Dép'!AL37,'Val-Dép'!AL37:AM37,2,FALSE ),"0")</f>
        <v>0</v>
      </c>
      <c r="D66" s="2857" t="str">
        <f>IF(AND( 'Val-Dép'!H37="Bq fournis-1an", 'Val-Dép'!I37&lt;&gt;"note de crédit"),VLOOKUP('Val-Dép'!H37,'Val-Dép'!H37:AM37,21,FALSE ),"0")</f>
        <v>0</v>
      </c>
      <c r="E66" s="2601"/>
      <c r="F66" s="2608"/>
      <c r="G66" s="2606"/>
      <c r="H66" s="2620" t="str">
        <f>IF(AND( 'Val-Dép'!AL37="440/560", 'Val-Dép'!I37&lt;&gt;"note de crédit"),VLOOKUP('Val-Dép'!AL37,'Val-Dép'!AL37:AM37,2,FALSE ),"0")</f>
        <v>0</v>
      </c>
      <c r="I66" s="2607" t="str">
        <f>IF(AND( 'Val-Dép'!H37="Bq post fournis-1an", 'Val-Dép'!I37&lt;&gt;"note de crédit"),VLOOKUP('Val-Dép'!H37,'Val-Dép'!H37:AM37,21,FALSE ),"0")</f>
        <v>0</v>
      </c>
      <c r="J66" s="2601"/>
      <c r="K66" s="2601"/>
      <c r="L66" s="2606"/>
      <c r="M66" s="2621" t="str">
        <f>IF(AND( 'Val-Dép'!AL37="440/570", 'Val-Dép'!I37&lt;&gt;"note de crédit"),VLOOKUP('Val-Dép'!AL37,'Val-Dép'!AL37:AM37,2,FALSE ),"0")</f>
        <v>0</v>
      </c>
      <c r="N66" s="2857" t="str">
        <f>IF(AND( 'Val-Dép'!H37="Caisse fournis-1an", 'Val-Dép'!I37&lt;&gt;"note de crédit"),VLOOKUP('Val-Dép'!H37,'Val-Dép'!H37:AM37,21,FALSE ),"0")</f>
        <v>0</v>
      </c>
      <c r="O66" s="2605"/>
      <c r="S66" s="1464"/>
      <c r="T66" s="2487"/>
      <c r="U66" s="1141" t="str">
        <f>IF(( 'Val-Dép'!L27="Crédit-banq" ),'Val-Dép'!AQ27,"0")</f>
        <v>0</v>
      </c>
      <c r="V66" s="3701" t="str">
        <f>IF(('Val-Dép'!L27="Crédit-banq"),'Val-Dép'!W27,"0")</f>
        <v>0</v>
      </c>
      <c r="W66" s="1095"/>
      <c r="X66" s="1081"/>
      <c r="Y66" s="2487"/>
      <c r="Z66" s="1141"/>
      <c r="AA66" s="3701"/>
      <c r="AB66" s="1095"/>
      <c r="AC66" s="1081"/>
      <c r="AD66" s="2487"/>
      <c r="AE66" s="1141"/>
      <c r="AF66" s="1100"/>
      <c r="AG66" s="1095"/>
      <c r="AH66" s="1573"/>
      <c r="AI66" s="1081"/>
      <c r="AJ66" s="1258"/>
      <c r="AK66" s="1258"/>
    </row>
    <row r="67" spans="2:37" ht="10.95" customHeight="1" x14ac:dyDescent="0.25">
      <c r="B67" s="1312"/>
      <c r="C67" s="2619" t="str">
        <f>IF(AND( 'Val-Dép'!AL38="440/550", 'Val-Dép'!I38&lt;&gt;"note de crédit"),VLOOKUP('Val-Dép'!AL38,'Val-Dép'!AL38:AM38,2,FALSE ),"0")</f>
        <v>0</v>
      </c>
      <c r="D67" s="2857" t="str">
        <f>IF(AND( 'Val-Dép'!H38="Bq fournis-1an", 'Val-Dép'!I38&lt;&gt;"note de crédit"),VLOOKUP('Val-Dép'!H38,'Val-Dép'!H38:AM38,21,FALSE ),"0")</f>
        <v>0</v>
      </c>
      <c r="E67" s="2601"/>
      <c r="F67" s="2608"/>
      <c r="G67" s="2606"/>
      <c r="H67" s="2620" t="str">
        <f>IF(AND( 'Val-Dép'!AL38="440/560", 'Val-Dép'!I38&lt;&gt;"note de crédit"),VLOOKUP('Val-Dép'!AL38,'Val-Dép'!AL38:AM38,2,FALSE ),"0")</f>
        <v>0</v>
      </c>
      <c r="I67" s="2607" t="str">
        <f>IF(AND( 'Val-Dép'!H38="Bq post fournis-1an", 'Val-Dép'!I38&lt;&gt;"note de crédit"),VLOOKUP('Val-Dép'!H38,'Val-Dép'!H38:AM38,21,FALSE ),"0")</f>
        <v>0</v>
      </c>
      <c r="J67" s="2601"/>
      <c r="K67" s="2601"/>
      <c r="L67" s="2606"/>
      <c r="M67" s="2621" t="str">
        <f>IF(AND( 'Val-Dép'!AL38="440/570", 'Val-Dép'!I38&lt;&gt;"note de crédit"),VLOOKUP('Val-Dép'!AL38,'Val-Dép'!AL38:AM38,2,FALSE ),"0")</f>
        <v>0</v>
      </c>
      <c r="N67" s="2857" t="str">
        <f>IF(AND( 'Val-Dép'!H38="Caisse fournis-1an", 'Val-Dép'!I38&lt;&gt;"note de crédit"),VLOOKUP('Val-Dép'!H38,'Val-Dép'!H38:AM38,21,FALSE ),"0")</f>
        <v>0</v>
      </c>
      <c r="O67" s="2605"/>
      <c r="S67" s="1464"/>
      <c r="T67" s="2487"/>
      <c r="U67" s="1141" t="str">
        <f>IF(( 'Val-Dép'!L28="Crédit-banq" ),'Val-Dép'!AQ28,"0")</f>
        <v>0</v>
      </c>
      <c r="V67" s="3702" t="str">
        <f>IF(('Val-Dép'!L28="Crédit-banq"),'Val-Dép'!W28,"0")</f>
        <v>0</v>
      </c>
      <c r="W67" s="1095"/>
      <c r="X67" s="1081"/>
      <c r="Y67" s="2487"/>
      <c r="Z67" s="1141"/>
      <c r="AA67" s="3701"/>
      <c r="AB67" s="1095"/>
      <c r="AC67" s="1081"/>
      <c r="AD67" s="2487"/>
      <c r="AE67" s="1141"/>
      <c r="AF67" s="1100"/>
      <c r="AG67" s="1095"/>
      <c r="AH67" s="1573"/>
      <c r="AI67" s="1081"/>
      <c r="AJ67" s="1258"/>
      <c r="AK67" s="1258"/>
    </row>
    <row r="68" spans="2:37" ht="10.95" customHeight="1" x14ac:dyDescent="0.25">
      <c r="B68" s="1312"/>
      <c r="C68" s="2619" t="str">
        <f>IF(AND( 'Val-Dép'!AL39="440/550", 'Val-Dép'!I39&lt;&gt;"note de crédit"),VLOOKUP('Val-Dép'!AL39,'Val-Dép'!AL39:AM39,2,FALSE ),"0")</f>
        <v>0</v>
      </c>
      <c r="D68" s="2857" t="str">
        <f>IF(AND( 'Val-Dép'!H39="Bq fournis-1an", 'Val-Dép'!I39&lt;&gt;"note de crédit"),VLOOKUP('Val-Dép'!H39,'Val-Dép'!H39:AM39,21,FALSE ),"0")</f>
        <v>0</v>
      </c>
      <c r="E68" s="2601"/>
      <c r="F68" s="2602"/>
      <c r="G68" s="2606"/>
      <c r="H68" s="2620" t="str">
        <f>IF(AND( 'Val-Dép'!AL39="440/560", 'Val-Dép'!I39&lt;&gt;"note de crédit"),VLOOKUP('Val-Dép'!AL39,'Val-Dép'!AL39:AM39,2,FALSE ),"0")</f>
        <v>0</v>
      </c>
      <c r="I68" s="2607" t="str">
        <f>IF(AND( 'Val-Dép'!H39="Bq post fournis-1an", 'Val-Dép'!I39&lt;&gt;"note de crédit"),VLOOKUP('Val-Dép'!H39,'Val-Dép'!H39:AM39,21,FALSE ),"0")</f>
        <v>0</v>
      </c>
      <c r="J68" s="2601"/>
      <c r="K68" s="2601"/>
      <c r="L68" s="2606"/>
      <c r="M68" s="2621" t="str">
        <f>IF(AND( 'Val-Dép'!AL39="440/570", 'Val-Dép'!I39&lt;&gt;"note de crédit"),VLOOKUP('Val-Dép'!AL39,'Val-Dép'!AL39:AM39,2,FALSE ),"0")</f>
        <v>0</v>
      </c>
      <c r="N68" s="2857" t="str">
        <f>IF(AND( 'Val-Dép'!H39="Caisse fournis-1an", 'Val-Dép'!I39&lt;&gt;"note de crédit"),VLOOKUP('Val-Dép'!H39,'Val-Dép'!H39:AM39,21,FALSE ),"0")</f>
        <v>0</v>
      </c>
      <c r="O68" s="2605"/>
      <c r="S68" s="1464"/>
      <c r="T68" s="2487"/>
      <c r="U68" s="1141" t="str">
        <f>IF(( 'Val-Dép'!L29="Crédit-banq" ),'Val-Dép'!AQ29,"0")</f>
        <v>0</v>
      </c>
      <c r="V68" s="3701" t="str">
        <f>IF(('Val-Dép'!L29="Crédit-banq"),'Val-Dép'!W29,"0")</f>
        <v>0</v>
      </c>
      <c r="W68" s="1095"/>
      <c r="X68" s="1081"/>
      <c r="Y68" s="2487"/>
      <c r="Z68" s="1141"/>
      <c r="AA68" s="3702"/>
      <c r="AB68" s="1095"/>
      <c r="AC68" s="1081"/>
      <c r="AD68" s="2487"/>
      <c r="AE68" s="1141"/>
      <c r="AF68" s="1100"/>
      <c r="AG68" s="1095"/>
      <c r="AH68" s="1573"/>
      <c r="AI68" s="1081"/>
      <c r="AJ68" s="1258"/>
      <c r="AK68" s="1258"/>
    </row>
    <row r="69" spans="2:37" ht="10.95" customHeight="1" x14ac:dyDescent="0.25">
      <c r="B69" s="1312"/>
      <c r="C69" s="2619" t="str">
        <f>IF(AND( 'Val-Dép'!AL40="440/550", 'Val-Dép'!I40&lt;&gt;"note de crédit"),VLOOKUP('Val-Dép'!AL40,'Val-Dép'!AL40:AM40,2,FALSE ),"0")</f>
        <v>0</v>
      </c>
      <c r="D69" s="2857" t="str">
        <f>IF(AND( 'Val-Dép'!H40="Bq fournis-1an", 'Val-Dép'!I40&lt;&gt;"note de crédit"),VLOOKUP('Val-Dép'!H40,'Val-Dép'!H40:AM40,21,FALSE ),"0")</f>
        <v>0</v>
      </c>
      <c r="E69" s="2601"/>
      <c r="F69" s="2602"/>
      <c r="G69" s="2606"/>
      <c r="H69" s="2620" t="str">
        <f>IF(AND( 'Val-Dép'!AL40="440/560", 'Val-Dép'!I40&lt;&gt;"note de crédit"),VLOOKUP('Val-Dép'!AL40,'Val-Dép'!AL40:AM40,2,FALSE ),"0")</f>
        <v>0</v>
      </c>
      <c r="I69" s="2607" t="str">
        <f>IF(AND( 'Val-Dép'!H40="Bq post fournis-1an", 'Val-Dép'!I40&lt;&gt;"note de crédit"),VLOOKUP('Val-Dép'!H40,'Val-Dép'!H40:AM40,21,FALSE ),"0")</f>
        <v>0</v>
      </c>
      <c r="J69" s="2609"/>
      <c r="K69" s="2601"/>
      <c r="L69" s="2606"/>
      <c r="M69" s="2621" t="str">
        <f>IF(AND( 'Val-Dép'!AL40="440/570", 'Val-Dép'!I40&lt;&gt;"note de crédit"),VLOOKUP('Val-Dép'!AL40,'Val-Dép'!AL40:AM40,2,FALSE ),"0")</f>
        <v>0</v>
      </c>
      <c r="N69" s="2857" t="str">
        <f>IF(AND( 'Val-Dép'!H40="Caisse fournis-1an", 'Val-Dép'!I40&lt;&gt;"note de crédit"),VLOOKUP('Val-Dép'!H40,'Val-Dép'!H40:AM40,21,FALSE ),"0")</f>
        <v>0</v>
      </c>
      <c r="O69" s="2605"/>
      <c r="S69" s="1464"/>
      <c r="T69" s="2487"/>
      <c r="U69" s="1141" t="str">
        <f>IF(( 'Val-Dép'!L30="Crédit-banq" ),'Val-Dép'!AQ30,"0")</f>
        <v>0</v>
      </c>
      <c r="V69" s="3701" t="str">
        <f>IF(('Val-Dép'!L30="Crédit-banq"),'Val-Dép'!W30,"0")</f>
        <v>0</v>
      </c>
      <c r="W69" s="1095"/>
      <c r="X69" s="1258"/>
      <c r="Y69" s="2487"/>
      <c r="Z69" s="1141"/>
      <c r="AA69" s="3701"/>
      <c r="AB69" s="1095"/>
      <c r="AC69" s="1258"/>
      <c r="AD69" s="2487"/>
      <c r="AE69" s="1141"/>
      <c r="AF69" s="1100"/>
      <c r="AG69" s="1095"/>
      <c r="AH69" s="1573"/>
      <c r="AI69" s="1081"/>
      <c r="AJ69" s="1258"/>
      <c r="AK69" s="1258"/>
    </row>
    <row r="70" spans="2:37" ht="10.95" customHeight="1" thickBot="1" x14ac:dyDescent="0.3">
      <c r="B70" s="1312"/>
      <c r="C70" s="2619" t="str">
        <f>IF(AND( 'Val-Dép'!AL41="440/550", 'Val-Dép'!I41&lt;&gt;"note de crédit"),VLOOKUP('Val-Dép'!AL41,'Val-Dép'!AL41:AM41,2,FALSE ),"0")</f>
        <v>0</v>
      </c>
      <c r="D70" s="2857" t="str">
        <f>IF(AND( 'Val-Dép'!H41="Bq fournis-1an", 'Val-Dép'!I41&lt;&gt;"note de crédit"),VLOOKUP('Val-Dép'!H41,'Val-Dép'!H41:AM41,21,FALSE ),"0")</f>
        <v>0</v>
      </c>
      <c r="E70" s="2601"/>
      <c r="F70" s="2602"/>
      <c r="G70" s="2606"/>
      <c r="H70" s="2620" t="str">
        <f>IF(AND( 'Val-Dép'!AL41="440/560", 'Val-Dép'!I41&lt;&gt;"note de crédit"),VLOOKUP('Val-Dép'!AL41,'Val-Dép'!AL41:AM41,2,FALSE ),"0")</f>
        <v>0</v>
      </c>
      <c r="I70" s="2607" t="str">
        <f>IF(AND( 'Val-Dép'!H41="Bq post fournis-1an", 'Val-Dép'!I41&lt;&gt;"note de crédit"),VLOOKUP('Val-Dép'!H41,'Val-Dép'!H41:AM41,21,FALSE ),"0")</f>
        <v>0</v>
      </c>
      <c r="J70" s="2601"/>
      <c r="K70" s="2601"/>
      <c r="L70" s="2606"/>
      <c r="M70" s="2621" t="str">
        <f>IF(AND( 'Val-Dép'!AL41="440/570", 'Val-Dép'!I41&lt;&gt;"note de crédit"),VLOOKUP('Val-Dép'!AL41,'Val-Dép'!AL41:AM41,2,FALSE ),"0")</f>
        <v>0</v>
      </c>
      <c r="N70" s="2607" t="str">
        <f>IF(AND( 'Val-Dép'!H41="Caisse fournis-1an", 'Val-Dép'!I41&lt;&gt;"note de crédit"),VLOOKUP('Val-Dép'!H41,'Val-Dép'!H41:AM41,21,FALSE ),"0")</f>
        <v>0</v>
      </c>
      <c r="O70" s="2605"/>
      <c r="S70" s="1464"/>
      <c r="T70" s="2487"/>
      <c r="U70" s="1141" t="str">
        <f>IF(( 'Val-Dép'!L31="Crédit-banq" ),'Val-Dép'!AQ31,"0")</f>
        <v>0</v>
      </c>
      <c r="V70" s="3701" t="str">
        <f>IF(('Val-Dép'!L31="Crédit-banq"),'Val-Dép'!W31,"0")</f>
        <v>0</v>
      </c>
      <c r="W70" s="3583"/>
      <c r="X70" s="1213"/>
      <c r="Y70" s="2487"/>
      <c r="Z70" s="1141"/>
      <c r="AA70" s="3701"/>
      <c r="AB70" s="3583"/>
      <c r="AC70" s="1258"/>
      <c r="AD70" s="2487"/>
      <c r="AE70" s="1141"/>
      <c r="AF70" s="1100"/>
      <c r="AG70" s="3583"/>
      <c r="AH70" s="1573"/>
      <c r="AI70" s="1081"/>
      <c r="AJ70" s="1258"/>
      <c r="AK70" s="1258"/>
    </row>
    <row r="71" spans="2:37" ht="10.95" customHeight="1" x14ac:dyDescent="0.25">
      <c r="B71" s="1312"/>
      <c r="C71" s="2619" t="str">
        <f>IF(AND( 'Val-Dép'!AL42="440/550", 'Val-Dép'!I42&lt;&gt;"note de crédit"),VLOOKUP('Val-Dép'!AL42,'Val-Dép'!AL42:AM42,2,FALSE ),"0")</f>
        <v>0</v>
      </c>
      <c r="D71" s="2857" t="str">
        <f>IF(AND( 'Val-Dép'!H42="Bq fournis-1an", 'Val-Dép'!I42&lt;&gt;"note de crédit"),VLOOKUP('Val-Dép'!H42,'Val-Dép'!H42:AM42,21,FALSE ),"0")</f>
        <v>0</v>
      </c>
      <c r="E71" s="2601"/>
      <c r="F71" s="2602"/>
      <c r="G71" s="2606"/>
      <c r="H71" s="2620" t="str">
        <f>IF(AND( 'Val-Dép'!AL42="440/560", 'Val-Dép'!I42&lt;&gt;"note de crédit"),VLOOKUP('Val-Dép'!AL42,'Val-Dép'!AL42:AM42,2,FALSE ),"0")</f>
        <v>0</v>
      </c>
      <c r="I71" s="2607" t="str">
        <f>IF(AND( 'Val-Dép'!H42="Bq post fournis-1an", 'Val-Dép'!I42&lt;&gt;"note de crédit"),VLOOKUP('Val-Dép'!H42,'Val-Dép'!H42:AM42,21,FALSE ),"0")</f>
        <v>0</v>
      </c>
      <c r="J71" s="2601"/>
      <c r="K71" s="2601"/>
      <c r="L71" s="2606"/>
      <c r="M71" s="2621" t="str">
        <f>IF(AND( 'Val-Dép'!AL42="440/570", 'Val-Dép'!I42&lt;&gt;"note de crédit"),VLOOKUP('Val-Dép'!AL42,'Val-Dép'!AL42:AM42,2,FALSE ),"0")</f>
        <v>0</v>
      </c>
      <c r="N71" s="2607" t="str">
        <f>IF(AND( 'Val-Dép'!H42="Caisse fournis-1an", 'Val-Dép'!I42&lt;&gt;"note de crédit"),VLOOKUP('Val-Dép'!H42,'Val-Dép'!H42:AM42,21,FALSE ),"0")</f>
        <v>0</v>
      </c>
      <c r="O71" s="2605"/>
      <c r="S71" s="1464"/>
      <c r="T71" s="2487"/>
      <c r="U71" s="1141" t="str">
        <f>IF(( 'Val-Dép'!L32="Crédit-banq" ),'Val-Dép'!AQ32,"0")</f>
        <v>0</v>
      </c>
      <c r="V71" s="3701" t="str">
        <f>IF(('Val-Dép'!L32="Crédit-banq"),'Val-Dép'!W32,"0")</f>
        <v>0</v>
      </c>
      <c r="W71" s="2487"/>
      <c r="X71" s="1213"/>
      <c r="Y71" s="2487"/>
      <c r="Z71" s="1141"/>
      <c r="AA71" s="3701"/>
      <c r="AB71" s="2487"/>
      <c r="AC71" s="1258"/>
      <c r="AD71" s="2487"/>
      <c r="AE71" s="1141"/>
      <c r="AF71" s="1100"/>
      <c r="AG71" s="2487"/>
      <c r="AH71" s="1573"/>
      <c r="AI71" s="1081"/>
      <c r="AJ71" s="1258"/>
      <c r="AK71" s="1258"/>
    </row>
    <row r="72" spans="2:37" ht="10.95" customHeight="1" x14ac:dyDescent="0.25">
      <c r="B72" s="1312"/>
      <c r="C72" s="2619" t="str">
        <f>IF(AND( 'Val-Dép'!AL43="440/550", 'Val-Dép'!I43&lt;&gt;"note de crédit"),VLOOKUP('Val-Dép'!AL43,'Val-Dép'!AL43:AM43,2,FALSE ),"0")</f>
        <v>0</v>
      </c>
      <c r="D72" s="2857" t="str">
        <f>IF(AND( 'Val-Dép'!H43="Bq fournis-1an", 'Val-Dép'!I43&lt;&gt;"note de crédit"),VLOOKUP('Val-Dép'!H43,'Val-Dép'!H43:AM43,21,FALSE ),"0")</f>
        <v>0</v>
      </c>
      <c r="E72" s="2601"/>
      <c r="F72" s="2602"/>
      <c r="G72" s="2606"/>
      <c r="H72" s="2620" t="str">
        <f>IF(AND( 'Val-Dép'!AL43="440/560", 'Val-Dép'!I43&lt;&gt;"note de crédit"),VLOOKUP('Val-Dép'!AL43,'Val-Dép'!AL43:AM43,2,FALSE ),"0")</f>
        <v>0</v>
      </c>
      <c r="I72" s="2607" t="str">
        <f>IF(AND( 'Val-Dép'!H43="Bq post fournis-1an", 'Val-Dép'!I43&lt;&gt;"note de crédit"),VLOOKUP('Val-Dép'!H43,'Val-Dép'!H43:AM43,21,FALSE ),"0")</f>
        <v>0</v>
      </c>
      <c r="J72" s="2601"/>
      <c r="K72" s="2601"/>
      <c r="L72" s="2606"/>
      <c r="M72" s="2621" t="str">
        <f>IF(AND( 'Val-Dép'!AL43="440/570", 'Val-Dép'!I43&lt;&gt;"note de crédit"),VLOOKUP('Val-Dép'!AL43,'Val-Dép'!AL43:AM43,2,FALSE ),"0")</f>
        <v>0</v>
      </c>
      <c r="N72" s="2607" t="str">
        <f>IF(AND( 'Val-Dép'!H43="Caisse fournis-1an", 'Val-Dép'!I43&lt;&gt;"note de crédit"),VLOOKUP('Val-Dép'!H43,'Val-Dép'!H43:AM43,21,FALSE ),"0")</f>
        <v>0</v>
      </c>
      <c r="O72" s="2605"/>
      <c r="S72" s="1464"/>
      <c r="T72" s="3744"/>
      <c r="U72" s="1141" t="str">
        <f>IF(( 'Val-Dép'!L33="Crédit-banq" ),'Val-Dép'!AQ33,"0")</f>
        <v>0</v>
      </c>
      <c r="V72" s="3701" t="str">
        <f>IF(('Val-Dép'!L33="Crédit-banq"),'Val-Dép'!W33,"0")</f>
        <v>0</v>
      </c>
      <c r="W72" s="3744"/>
      <c r="X72" s="1213"/>
      <c r="Y72" s="2487"/>
      <c r="Z72" s="1141"/>
      <c r="AA72" s="2573"/>
      <c r="AB72" s="2487"/>
      <c r="AC72" s="1258"/>
      <c r="AD72" s="2487"/>
      <c r="AE72" s="1141"/>
      <c r="AF72" s="2573"/>
      <c r="AG72" s="2487"/>
      <c r="AH72" s="1573"/>
      <c r="AI72" s="1081"/>
      <c r="AJ72" s="1258"/>
      <c r="AK72" s="1258"/>
    </row>
    <row r="73" spans="2:37" ht="10.95" customHeight="1" x14ac:dyDescent="0.25">
      <c r="B73" s="1312"/>
      <c r="C73" s="2619" t="str">
        <f>IF(AND( 'Val-Dép'!AL44="440/550", 'Val-Dép'!I44&lt;&gt;"note de crédit"),VLOOKUP('Val-Dép'!AL44,'Val-Dép'!AL44:AM44,2,FALSE ),"0")</f>
        <v>0</v>
      </c>
      <c r="D73" s="2857" t="str">
        <f>IF(AND( 'Val-Dép'!H44="Bq fournis-1an", 'Val-Dép'!I44&lt;&gt;"note de crédit"),VLOOKUP('Val-Dép'!H44,'Val-Dép'!H44:AM44,21,FALSE ),"0")</f>
        <v>0</v>
      </c>
      <c r="E73" s="2601"/>
      <c r="F73" s="2602"/>
      <c r="G73" s="2606"/>
      <c r="H73" s="2620" t="str">
        <f>IF(AND( 'Val-Dép'!AL44="440/560", 'Val-Dép'!I44&lt;&gt;"note de crédit"),VLOOKUP('Val-Dép'!AL44,'Val-Dép'!AL44:AM44,2,FALSE ),"0")</f>
        <v>0</v>
      </c>
      <c r="I73" s="2607" t="str">
        <f>IF(AND( 'Val-Dép'!H44="Bq post fournis-1an", 'Val-Dép'!I44&lt;&gt;"note de crédit"),VLOOKUP('Val-Dép'!H44,'Val-Dép'!H44:AM44,21,FALSE ),"0")</f>
        <v>0</v>
      </c>
      <c r="J73" s="2601"/>
      <c r="K73" s="2601"/>
      <c r="L73" s="2606"/>
      <c r="M73" s="2621" t="str">
        <f>IF(AND( 'Val-Dép'!AL44="440/570", 'Val-Dép'!I44&lt;&gt;"note de crédit"),VLOOKUP('Val-Dép'!AL44,'Val-Dép'!AL44:AM44,2,FALSE ),"0")</f>
        <v>0</v>
      </c>
      <c r="N73" s="2607" t="str">
        <f>IF(AND( 'Val-Dép'!H44="Caisse fournis-1an", 'Val-Dép'!I44&lt;&gt;"note de crédit"),VLOOKUP('Val-Dép'!H44,'Val-Dép'!H44:AM44,21,FALSE ),"0")</f>
        <v>0</v>
      </c>
      <c r="O73" s="2605"/>
      <c r="S73" s="1464"/>
      <c r="T73" s="3744"/>
      <c r="U73" s="1141"/>
      <c r="V73" s="3701" t="str">
        <f>IF(('Val-Dép'!L34="Crédit-banq"),'Val-Dép'!W34,"0")</f>
        <v>0</v>
      </c>
      <c r="W73" s="3745"/>
      <c r="X73" s="1213"/>
      <c r="Y73" s="2487"/>
      <c r="Z73" s="1141"/>
      <c r="AA73" s="2517"/>
      <c r="AB73" s="2487"/>
      <c r="AC73" s="1258"/>
      <c r="AD73" s="2517"/>
      <c r="AE73" s="1141"/>
      <c r="AF73" s="2517"/>
      <c r="AG73" s="3666"/>
      <c r="AH73" s="1573"/>
      <c r="AI73" s="1081"/>
      <c r="AJ73" s="1258"/>
      <c r="AK73" s="1258"/>
    </row>
    <row r="74" spans="2:37" ht="10.95" customHeight="1" thickBot="1" x14ac:dyDescent="0.3">
      <c r="B74" s="1312"/>
      <c r="C74" s="2619" t="str">
        <f>IF(AND( 'Val-Dép'!AL45="440/550", 'Val-Dép'!I45&lt;&gt;"note de crédit"),VLOOKUP('Val-Dép'!AL45,'Val-Dép'!AL45:AM45,2,FALSE ),"0")</f>
        <v>0</v>
      </c>
      <c r="D74" s="2857" t="str">
        <f>IF(AND( 'Val-Dép'!H45="Bq fournis-1an", 'Val-Dép'!I45&lt;&gt;"note de crédit"),VLOOKUP('Val-Dép'!H45,'Val-Dép'!H45:AM45,21,FALSE ),"0")</f>
        <v>0</v>
      </c>
      <c r="E74" s="2601"/>
      <c r="F74" s="2602"/>
      <c r="G74" s="2606"/>
      <c r="H74" s="2620" t="str">
        <f>IF(AND( 'Val-Dép'!AL45="440/560", 'Val-Dép'!I45&lt;&gt;"note de crédit"),VLOOKUP('Val-Dép'!AL45,'Val-Dép'!AL45:AM45,2,FALSE ),"0")</f>
        <v>0</v>
      </c>
      <c r="I74" s="2607" t="str">
        <f>IF(AND( 'Val-Dép'!H45="Bq post fournis-1an", 'Val-Dép'!I45&lt;&gt;"note de crédit"),VLOOKUP('Val-Dép'!H45,'Val-Dép'!H45:AM45,21,FALSE ),"0")</f>
        <v>0</v>
      </c>
      <c r="J74" s="2601"/>
      <c r="K74" s="2601"/>
      <c r="L74" s="2606"/>
      <c r="M74" s="2621" t="str">
        <f>IF(AND( 'Val-Dép'!AL45="440/570", 'Val-Dép'!I45&lt;&gt;"note de crédit"),VLOOKUP('Val-Dép'!AL45,'Val-Dép'!AL45:AM45,2,FALSE ),"0")</f>
        <v>0</v>
      </c>
      <c r="N74" s="2607" t="str">
        <f>IF(AND( 'Val-Dép'!H45="Caisse fournis-1an", 'Val-Dép'!I45&lt;&gt;"note de crédit"),VLOOKUP('Val-Dép'!H45,'Val-Dép'!H45:AM45,21,FALSE ),"0")</f>
        <v>0</v>
      </c>
      <c r="O74" s="2605"/>
      <c r="S74" s="1464"/>
      <c r="T74" s="4100"/>
      <c r="U74" s="3590" t="str">
        <f>IF( 'Val-Dép'!H55="430",VLOOKUP('Val-Dép'!H55,'Val-Dép'!H55:I55,2,FALSE),"0")</f>
        <v>0</v>
      </c>
      <c r="V74" s="1100"/>
      <c r="W74" s="3750"/>
      <c r="X74" s="1162"/>
      <c r="Y74" s="3584"/>
      <c r="Z74" s="3590" t="str">
        <f>IF( 'Val-Dép'!H55="430",VLOOKUP('Val-Dép'!H55,'Val-Dép'!H55:I55,2,FALSE),"0")</f>
        <v>0</v>
      </c>
      <c r="AA74" s="1100"/>
      <c r="AB74" s="3750"/>
      <c r="AC74" s="1081"/>
      <c r="AD74" s="3584"/>
      <c r="AE74" s="3590" t="str">
        <f>IF( 'Val-Dép'!H55="430",VLOOKUP('Val-Dép'!H55,'Val-Dép'!H55:I55,2,FALSE),"0")</f>
        <v>0</v>
      </c>
      <c r="AF74" s="1100"/>
      <c r="AG74" s="3750"/>
      <c r="AH74" s="1573"/>
      <c r="AI74" s="1081"/>
      <c r="AJ74" s="1258"/>
      <c r="AK74" s="1258"/>
    </row>
    <row r="75" spans="2:37" ht="10.95" customHeight="1" thickBot="1" x14ac:dyDescent="0.3">
      <c r="B75" s="2663"/>
      <c r="C75" s="2619" t="str">
        <f>IF(AND( 'Val-Dép'!AL46="440/550", 'Val-Dép'!I46&lt;&gt;"note de crédit"),VLOOKUP('Val-Dép'!AL46,'Val-Dép'!AL46:AM46,2,FALSE ),"0")</f>
        <v>0</v>
      </c>
      <c r="D75" s="2857" t="str">
        <f>IF(AND( 'Val-Dép'!H46="Bq fournis-1an", 'Val-Dép'!I46&lt;&gt;"note de crédit"),VLOOKUP('Val-Dép'!H46,'Val-Dép'!H46:AM46,21,FALSE ),"0")</f>
        <v>0</v>
      </c>
      <c r="E75" s="2664"/>
      <c r="F75" s="2610"/>
      <c r="G75" s="2665"/>
      <c r="H75" s="2620" t="str">
        <f>IF(AND( 'Val-Dép'!AL46="440/560", 'Val-Dép'!I46&lt;&gt;"note de crédit"),VLOOKUP('Val-Dép'!AL46,'Val-Dép'!AL46:AM46,2,FALSE ),"0")</f>
        <v>0</v>
      </c>
      <c r="I75" s="2607" t="str">
        <f>IF(AND( 'Val-Dép'!H46="Bq post fournis-1an", 'Val-Dép'!I46&lt;&gt;"note de crédit"),VLOOKUP('Val-Dép'!H46,'Val-Dép'!H46:AM46,21,FALSE ),"0")</f>
        <v>0</v>
      </c>
      <c r="J75" s="2666"/>
      <c r="K75" s="2601"/>
      <c r="L75" s="2667"/>
      <c r="M75" s="2621" t="str">
        <f>IF(AND( 'Val-Dép'!AL46="440/570", 'Val-Dép'!I46&lt;&gt;"note de crédit"),VLOOKUP('Val-Dép'!AL46,'Val-Dép'!AL46:AM46,2,FALSE ),"0")</f>
        <v>0</v>
      </c>
      <c r="N75" s="2607" t="str">
        <f>IF(AND( 'Val-Dép'!H46="Caisse fournis-1an", 'Val-Dép'!I46&lt;&gt;"note de crédit"),VLOOKUP('Val-Dép'!H46,'Val-Dép'!H46:AM46,21,FALSE ),"0")</f>
        <v>0</v>
      </c>
      <c r="O75" s="2668"/>
      <c r="S75" s="1464"/>
      <c r="T75" s="4100"/>
      <c r="U75" s="3590" t="str">
        <f>IF( 'Val-Dép'!H56="430",VLOOKUP('Val-Dép'!H56,'Val-Dép'!H56:I56,2,FALSE),"0")</f>
        <v>0</v>
      </c>
      <c r="V75" s="3589"/>
      <c r="W75" s="3750"/>
      <c r="X75" s="1162"/>
      <c r="Y75" s="3584"/>
      <c r="Z75" s="3590" t="str">
        <f>IF( 'Val-Dép'!H56="430",VLOOKUP('Val-Dép'!H56,'Val-Dép'!H56:I56,2,FALSE),"0")</f>
        <v>0</v>
      </c>
      <c r="AA75" s="3589"/>
      <c r="AB75" s="3750"/>
      <c r="AC75" s="1202"/>
      <c r="AD75" s="3584"/>
      <c r="AE75" s="3590" t="str">
        <f>IF( 'Val-Dép'!H56="430",VLOOKUP('Val-Dép'!H56,'Val-Dép'!H56:I56,2,FALSE),"0")</f>
        <v>0</v>
      </c>
      <c r="AF75" s="3589"/>
      <c r="AG75" s="3750"/>
      <c r="AH75" s="1573"/>
      <c r="AI75" s="1081"/>
      <c r="AJ75" s="1258"/>
      <c r="AK75" s="1258"/>
    </row>
    <row r="76" spans="2:37" ht="10.95" customHeight="1" thickTop="1" x14ac:dyDescent="0.25">
      <c r="B76" s="2614"/>
      <c r="C76" s="2670">
        <f>SUM(C64:C75)</f>
        <v>0</v>
      </c>
      <c r="D76" s="2671">
        <f>SUM(D63:D75)</f>
        <v>11500</v>
      </c>
      <c r="E76" s="2672"/>
      <c r="F76" s="2673"/>
      <c r="G76" s="2673"/>
      <c r="H76" s="2674">
        <f>SUM(H64:H75)</f>
        <v>0</v>
      </c>
      <c r="I76" s="2675">
        <f>SUM(I64:I75)</f>
        <v>0</v>
      </c>
      <c r="J76" s="2673"/>
      <c r="K76" s="2673"/>
      <c r="L76" s="2673"/>
      <c r="M76" s="2672">
        <f>SUM(M64:M75)</f>
        <v>0</v>
      </c>
      <c r="N76" s="2672">
        <f>SUM(N64:N74)</f>
        <v>0</v>
      </c>
      <c r="O76" s="2605"/>
      <c r="S76" s="1464"/>
      <c r="T76" s="4100"/>
      <c r="U76" s="3590" t="str">
        <f>IF( 'Val-Dép'!H57="430",VLOOKUP('Val-Dép'!H57,'Val-Dép'!H57:I57,2,FALSE),"0")</f>
        <v>0</v>
      </c>
      <c r="V76" s="3589"/>
      <c r="W76" s="3750"/>
      <c r="X76" s="1162"/>
      <c r="Y76" s="3584"/>
      <c r="Z76" s="3590" t="str">
        <f>IF( 'Val-Dép'!H57="430",VLOOKUP('Val-Dép'!H57,'Val-Dép'!H57:I57,2,FALSE),"0")</f>
        <v>0</v>
      </c>
      <c r="AA76" s="3589"/>
      <c r="AB76" s="3750"/>
      <c r="AC76" s="2473"/>
      <c r="AD76" s="3584"/>
      <c r="AE76" s="3590" t="str">
        <f>IF( 'Val-Dép'!H57="430",VLOOKUP('Val-Dép'!H57,'Val-Dép'!H57:I57,2,FALSE),"0")</f>
        <v>0</v>
      </c>
      <c r="AF76" s="3589"/>
      <c r="AG76" s="3750"/>
      <c r="AH76" s="1573"/>
      <c r="AI76" s="1081"/>
      <c r="AJ76" s="1258"/>
      <c r="AK76" s="1258"/>
    </row>
    <row r="77" spans="2:37" ht="10.95" customHeight="1" thickBot="1" x14ac:dyDescent="0.3">
      <c r="B77" s="2678"/>
      <c r="C77" s="2672">
        <f>($C$76-$D$76)</f>
        <v>-11500</v>
      </c>
      <c r="D77" s="2672">
        <f>($D$76-$C$76)</f>
        <v>11500</v>
      </c>
      <c r="E77" s="2487" t="s">
        <v>189</v>
      </c>
      <c r="F77" s="2487"/>
      <c r="G77" s="2487"/>
      <c r="H77" s="2551">
        <f>($H$76-$I$76)</f>
        <v>0</v>
      </c>
      <c r="I77" s="2551">
        <f>($H$76-$I$76)</f>
        <v>0</v>
      </c>
      <c r="J77" s="2487" t="s">
        <v>189</v>
      </c>
      <c r="K77" s="2487"/>
      <c r="L77" s="2487"/>
      <c r="M77" s="2564">
        <f ca="1">($M$77-$N$77)</f>
        <v>0</v>
      </c>
      <c r="N77" s="2564">
        <f ca="1">N77-M77</f>
        <v>0</v>
      </c>
      <c r="O77" s="2605" t="s">
        <v>189</v>
      </c>
      <c r="S77" s="1464"/>
      <c r="T77" s="4100"/>
      <c r="U77" s="3590" t="str">
        <f>IF( 'Val-Dép'!H58="430",VLOOKUP('Val-Dép'!H58,'Val-Dép'!H58:I58,2,FALSE),"0")</f>
        <v>0</v>
      </c>
      <c r="V77" s="3589"/>
      <c r="W77" s="3750" t="s">
        <v>1677</v>
      </c>
      <c r="X77" s="1162"/>
      <c r="Y77" s="3584"/>
      <c r="Z77" s="3590" t="str">
        <f>IF( 'Val-Dép'!H58="430",VLOOKUP('Val-Dép'!H58,'Val-Dép'!H58:I58,2,FALSE),"0")</f>
        <v>0</v>
      </c>
      <c r="AA77" s="3589"/>
      <c r="AB77" s="3750" t="s">
        <v>1677</v>
      </c>
      <c r="AC77" s="1081"/>
      <c r="AD77" s="3584"/>
      <c r="AE77" s="3590" t="str">
        <f>IF( 'Val-Dép'!H58="430",VLOOKUP('Val-Dép'!H58,'Val-Dép'!H58:I58,2,FALSE),"0")</f>
        <v>0</v>
      </c>
      <c r="AF77" s="3589"/>
      <c r="AG77" s="3750" t="s">
        <v>1677</v>
      </c>
      <c r="AH77" s="1573"/>
      <c r="AI77" s="1081"/>
      <c r="AJ77" s="1258"/>
      <c r="AK77" s="1258"/>
    </row>
    <row r="78" spans="2:37" ht="10.95" customHeight="1" thickBot="1" x14ac:dyDescent="0.3">
      <c r="B78" s="2611"/>
      <c r="C78" s="4104" t="s">
        <v>2476</v>
      </c>
      <c r="D78" s="4104"/>
      <c r="E78" s="4104"/>
      <c r="F78" s="4104"/>
      <c r="G78" s="4104"/>
      <c r="H78" s="4104"/>
      <c r="I78" s="3621" t="s">
        <v>2477</v>
      </c>
      <c r="J78" s="3686"/>
      <c r="K78" s="3686"/>
      <c r="L78" s="3686"/>
      <c r="M78" s="2669">
        <f ca="1">SUM(C77,H77,M77)</f>
        <v>0</v>
      </c>
      <c r="N78" s="2669">
        <f ca="1">SUM(D77,I77,N77)</f>
        <v>0</v>
      </c>
      <c r="O78" s="2612" t="s">
        <v>2327</v>
      </c>
      <c r="S78" s="1464"/>
      <c r="T78" s="4100"/>
      <c r="U78" s="3590" t="str">
        <f>IF( 'Val-Dép'!H59="430",VLOOKUP('Val-Dép'!H59,'Val-Dép'!H59:I59,2,FALSE),"0")</f>
        <v>0</v>
      </c>
      <c r="V78" s="3589"/>
      <c r="W78" s="3750"/>
      <c r="X78" s="1081"/>
      <c r="Y78" s="3584"/>
      <c r="Z78" s="3590" t="str">
        <f>IF( 'Val-Dép'!H59="430",VLOOKUP('Val-Dép'!H59,'Val-Dép'!H59:I59,2,FALSE),"0")</f>
        <v>0</v>
      </c>
      <c r="AA78" s="3589"/>
      <c r="AB78" s="3750"/>
      <c r="AC78" s="1081"/>
      <c r="AD78" s="3584"/>
      <c r="AE78" s="3590" t="str">
        <f>IF( 'Val-Dép'!H59="430",VLOOKUP('Val-Dép'!H59,'Val-Dép'!H59:I59,2,FALSE),"0")</f>
        <v>0</v>
      </c>
      <c r="AF78" s="3589"/>
      <c r="AG78" s="3750"/>
      <c r="AH78" s="1573"/>
      <c r="AI78" s="1081"/>
      <c r="AJ78" s="1258"/>
      <c r="AK78" s="1258"/>
    </row>
    <row r="79" spans="2:37" ht="10.95" customHeight="1" thickBot="1" x14ac:dyDescent="0.3">
      <c r="B79" s="1366"/>
      <c r="C79" s="1367"/>
      <c r="D79" s="1368"/>
      <c r="E79" s="1369"/>
      <c r="F79" s="1370"/>
      <c r="G79" s="1371"/>
      <c r="H79" s="1372"/>
      <c r="I79" s="1373"/>
      <c r="J79" s="1374"/>
      <c r="K79" s="1372"/>
      <c r="L79" s="1372"/>
      <c r="M79" s="1372"/>
      <c r="N79" s="1369"/>
      <c r="O79" s="1369"/>
      <c r="P79" s="1359"/>
      <c r="S79" s="1464"/>
      <c r="T79" s="4100"/>
      <c r="U79" s="3590" t="str">
        <f>IF( 'Val-Dép'!H60="430",VLOOKUP('Val-Dép'!H60,'Val-Dép'!H60:I60,2,FALSE),"0")</f>
        <v>0</v>
      </c>
      <c r="V79" s="3589"/>
      <c r="W79" s="3751"/>
      <c r="X79" s="1081"/>
      <c r="Y79" s="3585"/>
      <c r="Z79" s="3590" t="str">
        <f>IF( 'Val-Dép'!H60="430",VLOOKUP('Val-Dép'!H60,'Val-Dép'!H60:I60,2,FALSE),"0")</f>
        <v>0</v>
      </c>
      <c r="AA79" s="3589"/>
      <c r="AB79" s="3751"/>
      <c r="AC79" s="1081"/>
      <c r="AD79" s="3585"/>
      <c r="AE79" s="3590" t="str">
        <f>IF( 'Val-Dép'!H60="430",VLOOKUP('Val-Dép'!H60,'Val-Dép'!H60:I60,2,FALSE),"0")</f>
        <v>0</v>
      </c>
      <c r="AF79" s="3589"/>
      <c r="AG79" s="3751"/>
      <c r="AH79" s="1573"/>
      <c r="AI79" s="1081"/>
      <c r="AJ79" s="1258"/>
      <c r="AK79" s="1258"/>
    </row>
    <row r="80" spans="2:37" ht="14.4" customHeight="1" x14ac:dyDescent="0.25">
      <c r="B80" s="1358"/>
      <c r="C80" s="1350"/>
      <c r="D80" s="1382"/>
      <c r="E80" s="1081"/>
      <c r="F80" s="1126"/>
      <c r="G80" s="1336"/>
      <c r="H80" s="1258"/>
      <c r="I80" s="1352"/>
      <c r="J80" s="1339"/>
      <c r="K80" s="1258"/>
      <c r="L80" s="1258"/>
      <c r="M80" s="1258"/>
      <c r="N80" s="1081"/>
      <c r="O80" s="1081"/>
      <c r="P80" s="1081"/>
      <c r="S80" s="1464"/>
      <c r="T80" s="4100"/>
      <c r="U80" s="3584" t="s">
        <v>1996</v>
      </c>
      <c r="V80" s="3750" t="s">
        <v>1997</v>
      </c>
      <c r="W80" s="3751"/>
      <c r="X80" s="1081"/>
      <c r="Y80" s="3584"/>
      <c r="Z80" s="3584" t="s">
        <v>1996</v>
      </c>
      <c r="AA80" s="3750" t="s">
        <v>1997</v>
      </c>
      <c r="AB80" s="3751"/>
      <c r="AC80" s="1081"/>
      <c r="AD80" s="3584"/>
      <c r="AE80" s="3584" t="s">
        <v>1996</v>
      </c>
      <c r="AF80" s="3750" t="s">
        <v>1997</v>
      </c>
      <c r="AG80" s="3751"/>
      <c r="AH80" s="1573"/>
      <c r="AI80" s="1081"/>
      <c r="AJ80" s="1258"/>
      <c r="AK80" s="1258"/>
    </row>
    <row r="81" spans="1:37" ht="20.399999999999999" x14ac:dyDescent="0.35">
      <c r="D81" s="4090" t="s">
        <v>2481</v>
      </c>
      <c r="E81" s="4090"/>
      <c r="F81" s="4090"/>
      <c r="G81" s="4090"/>
      <c r="H81" s="4090"/>
      <c r="I81" s="4090"/>
      <c r="J81" s="4090"/>
      <c r="K81" s="4090"/>
      <c r="L81" s="4090"/>
      <c r="M81" s="4090"/>
      <c r="N81" s="1258"/>
      <c r="P81" s="1081"/>
      <c r="S81" s="1464"/>
      <c r="T81" s="61" t="s">
        <v>195</v>
      </c>
      <c r="U81" s="3752">
        <f>SUM(U64:U79)</f>
        <v>0</v>
      </c>
      <c r="V81" s="3752">
        <f>SUM(V63:V79)</f>
        <v>0</v>
      </c>
      <c r="W81" s="3753" t="s">
        <v>193</v>
      </c>
      <c r="X81" s="1081"/>
      <c r="Y81" s="61" t="s">
        <v>195</v>
      </c>
      <c r="Z81" s="3752">
        <f>SUM(Z64:Z79)</f>
        <v>0</v>
      </c>
      <c r="AA81" s="3752">
        <f>SUM(AA63:AA79)</f>
        <v>0</v>
      </c>
      <c r="AB81" s="3753" t="s">
        <v>193</v>
      </c>
      <c r="AC81" s="1081"/>
      <c r="AD81" s="1852" t="s">
        <v>195</v>
      </c>
      <c r="AE81" s="3752">
        <f>SUM(AE64:AE79)</f>
        <v>0</v>
      </c>
      <c r="AF81" s="3752">
        <f>SUM(AF63:AF79)</f>
        <v>0</v>
      </c>
      <c r="AG81" s="3753" t="s">
        <v>193</v>
      </c>
      <c r="AH81" s="1573"/>
      <c r="AI81" s="3725"/>
      <c r="AJ81" s="1258"/>
      <c r="AK81" s="1258"/>
    </row>
    <row r="82" spans="1:37" ht="15.6" x14ac:dyDescent="0.3">
      <c r="A82" s="1258"/>
      <c r="B82" s="4091" t="s">
        <v>2478</v>
      </c>
      <c r="C82" s="4091"/>
      <c r="D82" s="4091"/>
      <c r="E82" s="4091"/>
      <c r="F82" s="3625"/>
      <c r="G82" s="4091" t="s">
        <v>2479</v>
      </c>
      <c r="H82" s="4091"/>
      <c r="I82" s="4091"/>
      <c r="J82" s="4091"/>
      <c r="K82" s="3635"/>
      <c r="L82" s="4091" t="s">
        <v>2480</v>
      </c>
      <c r="M82" s="4091"/>
      <c r="N82" s="4091"/>
      <c r="O82" s="4091"/>
      <c r="S82" s="1464"/>
      <c r="T82" s="3744"/>
      <c r="U82" s="2791">
        <f>IF(U81&gt;V81,U81-V81,0)</f>
        <v>0</v>
      </c>
      <c r="V82" s="3608">
        <f>IF(U81&lt;V81,V81-U81,0)</f>
        <v>0</v>
      </c>
      <c r="W82" s="2487" t="s">
        <v>189</v>
      </c>
      <c r="X82" s="1081"/>
      <c r="Y82" s="3744"/>
      <c r="Z82" s="2791">
        <f>IF(Z81&gt;AA81,Z81-AA81,0)</f>
        <v>0</v>
      </c>
      <c r="AA82" s="3608">
        <f>IF(Z81&lt;AA81,AA81-Z81,0)</f>
        <v>0</v>
      </c>
      <c r="AB82" s="2487" t="s">
        <v>189</v>
      </c>
      <c r="AC82" s="1081"/>
      <c r="AD82" s="3744"/>
      <c r="AE82" s="2791">
        <f>IF(AE81&gt;AF81,AE81-AF81,0)</f>
        <v>0</v>
      </c>
      <c r="AF82" s="3608">
        <f>IF(AE81&lt;AF81,AF81-AE81,0)</f>
        <v>0</v>
      </c>
      <c r="AG82" s="2487" t="s">
        <v>189</v>
      </c>
      <c r="AH82" s="1573"/>
      <c r="AI82" s="3725"/>
    </row>
    <row r="83" spans="1:37" ht="14.4" thickBot="1" x14ac:dyDescent="0.3">
      <c r="B83" s="4097" t="s">
        <v>2316</v>
      </c>
      <c r="C83" s="4097"/>
      <c r="D83" s="3469" t="s">
        <v>3</v>
      </c>
      <c r="E83" s="1081"/>
      <c r="F83" s="3625"/>
      <c r="G83" s="4097" t="s">
        <v>2316</v>
      </c>
      <c r="H83" s="4097"/>
      <c r="K83" s="3635"/>
      <c r="L83" s="4097" t="s">
        <v>2316</v>
      </c>
      <c r="M83" s="4097"/>
      <c r="N83" s="1258"/>
      <c r="O83" s="1081"/>
      <c r="P83" s="1162"/>
      <c r="Q83" s="1255"/>
      <c r="R83" s="1255"/>
      <c r="S83" s="1471"/>
      <c r="T83" s="3765"/>
      <c r="U83" s="3766"/>
      <c r="V83" s="3767"/>
      <c r="W83" s="3768"/>
      <c r="X83" s="3769"/>
      <c r="Y83" s="3770"/>
      <c r="Z83" s="3766"/>
      <c r="AA83" s="3767"/>
      <c r="AB83" s="3768"/>
      <c r="AC83" s="3769"/>
      <c r="AD83" s="3770"/>
      <c r="AE83" s="3766"/>
      <c r="AF83" s="3767"/>
      <c r="AG83" s="3771"/>
      <c r="AH83" s="3772"/>
      <c r="AI83" s="3725"/>
    </row>
    <row r="84" spans="1:37" ht="10.95" customHeight="1" thickTop="1" thickBot="1" x14ac:dyDescent="0.3">
      <c r="B84" s="2615" t="s">
        <v>2315</v>
      </c>
      <c r="C84" s="2615"/>
      <c r="D84" s="2615"/>
      <c r="E84" s="2615"/>
      <c r="F84" s="3626"/>
      <c r="G84" s="2615" t="s">
        <v>2317</v>
      </c>
      <c r="H84" s="2615"/>
      <c r="I84" s="2615"/>
      <c r="J84" s="2615"/>
      <c r="K84" s="3636"/>
      <c r="L84" s="2489"/>
      <c r="M84" s="2615" t="s">
        <v>2318</v>
      </c>
      <c r="N84" s="2615"/>
      <c r="O84" s="2487"/>
      <c r="P84" s="1081"/>
      <c r="Q84" s="1255"/>
      <c r="R84" s="1255"/>
      <c r="T84" s="3754"/>
      <c r="U84" s="3755"/>
      <c r="V84" s="3756"/>
      <c r="W84" s="3757"/>
      <c r="X84" s="3757"/>
      <c r="Y84" s="3757"/>
      <c r="Z84" s="3757"/>
      <c r="AA84" s="3757"/>
      <c r="AB84" s="3757"/>
      <c r="AC84" s="3757"/>
      <c r="AD84" s="3757"/>
      <c r="AE84" s="3758"/>
      <c r="AF84" s="3759"/>
      <c r="AG84" s="3760"/>
      <c r="AH84" s="3761"/>
      <c r="AI84" s="3725"/>
    </row>
    <row r="85" spans="1:37" ht="10.95" customHeight="1" thickTop="1" x14ac:dyDescent="0.25">
      <c r="B85" s="4076" t="s">
        <v>2313</v>
      </c>
      <c r="C85" s="4076"/>
      <c r="D85" s="3491" t="s">
        <v>2017</v>
      </c>
      <c r="E85" s="3491"/>
      <c r="F85" s="3626"/>
      <c r="G85" s="4076" t="s">
        <v>2313</v>
      </c>
      <c r="H85" s="4076"/>
      <c r="I85" s="4076" t="s">
        <v>2017</v>
      </c>
      <c r="J85" s="4076"/>
      <c r="K85" s="3636"/>
      <c r="L85" s="4076" t="s">
        <v>2313</v>
      </c>
      <c r="M85" s="4076"/>
      <c r="N85" s="4076" t="s">
        <v>2017</v>
      </c>
      <c r="O85" s="4076"/>
      <c r="P85" s="1081"/>
      <c r="Q85" s="1255"/>
      <c r="R85" s="1255"/>
      <c r="S85" s="3643"/>
      <c r="T85" s="3737"/>
      <c r="U85" s="3738"/>
      <c r="V85" s="3739"/>
      <c r="W85" s="3740"/>
      <c r="X85" s="3740"/>
      <c r="Y85" s="3740"/>
      <c r="Z85" s="3740"/>
      <c r="AA85" s="3740"/>
      <c r="AB85" s="3740"/>
      <c r="AC85" s="3740"/>
      <c r="AD85" s="3740"/>
      <c r="AE85" s="3741"/>
      <c r="AF85" s="3742"/>
      <c r="AG85" s="3743"/>
      <c r="AH85" s="1565"/>
      <c r="AI85" s="3725"/>
    </row>
    <row r="86" spans="1:37" ht="10.95" customHeight="1" thickBot="1" x14ac:dyDescent="0.3">
      <c r="B86" s="2487"/>
      <c r="C86" s="3493" t="s">
        <v>2427</v>
      </c>
      <c r="D86" s="3492" t="s">
        <v>2426</v>
      </c>
      <c r="E86" s="2487"/>
      <c r="F86" s="3626"/>
      <c r="G86" s="4094" t="s">
        <v>3</v>
      </c>
      <c r="H86" s="4094"/>
      <c r="I86" s="4094"/>
      <c r="J86" s="4094"/>
      <c r="K86" s="3636"/>
      <c r="L86" s="4094" t="s">
        <v>3</v>
      </c>
      <c r="M86" s="4094"/>
      <c r="N86" s="4094"/>
      <c r="O86" s="4094"/>
      <c r="P86" s="2469"/>
      <c r="Q86" s="1255"/>
      <c r="R86" s="1255"/>
      <c r="S86" s="1464"/>
      <c r="T86" s="4111" t="s">
        <v>2492</v>
      </c>
      <c r="U86" s="4111"/>
      <c r="V86" s="4111"/>
      <c r="W86" s="4111"/>
      <c r="X86" s="4111"/>
      <c r="Y86" s="4111"/>
      <c r="Z86" s="4111"/>
      <c r="AA86" s="4111"/>
      <c r="AB86" s="4111"/>
      <c r="AC86" s="4111"/>
      <c r="AD86" s="4111"/>
      <c r="AE86" s="4111"/>
      <c r="AF86" s="4111"/>
      <c r="AG86" s="4111"/>
      <c r="AH86" s="1573"/>
      <c r="AI86" s="3725"/>
    </row>
    <row r="87" spans="1:37" ht="10.95" customHeight="1" thickTop="1" thickBot="1" x14ac:dyDescent="0.3">
      <c r="B87" s="4045" t="s">
        <v>2483</v>
      </c>
      <c r="C87" s="4095"/>
      <c r="D87" s="4047" t="s">
        <v>2482</v>
      </c>
      <c r="E87" s="4048"/>
      <c r="F87" s="3626"/>
      <c r="G87" s="2494"/>
      <c r="H87" s="2514"/>
      <c r="I87" s="2487"/>
      <c r="J87" s="2494"/>
      <c r="K87" s="3636"/>
      <c r="L87" s="2487"/>
      <c r="M87" s="2517"/>
      <c r="N87" s="2518"/>
      <c r="O87" s="2518"/>
      <c r="P87" s="2468"/>
      <c r="Q87" s="1255"/>
      <c r="R87" s="1255"/>
      <c r="S87" s="1464"/>
      <c r="T87" s="3744"/>
      <c r="U87" s="2467" t="s">
        <v>1873</v>
      </c>
      <c r="V87" s="332" t="s">
        <v>1872</v>
      </c>
      <c r="W87" s="3745"/>
      <c r="X87" s="1081"/>
      <c r="Y87" s="3744"/>
      <c r="Z87" s="3691" t="s">
        <v>2461</v>
      </c>
      <c r="AA87" s="332" t="s">
        <v>1872</v>
      </c>
      <c r="AB87" s="3745"/>
      <c r="AC87" s="1081"/>
      <c r="AD87" s="3744"/>
      <c r="AE87" s="3690" t="s">
        <v>1875</v>
      </c>
      <c r="AF87" s="3690" t="s">
        <v>1872</v>
      </c>
      <c r="AG87" s="3745"/>
      <c r="AH87" s="3648"/>
      <c r="AI87" s="3725"/>
    </row>
    <row r="88" spans="1:37" ht="10.95" customHeight="1" thickTop="1" thickBot="1" x14ac:dyDescent="0.35">
      <c r="B88" s="4093" t="s">
        <v>1625</v>
      </c>
      <c r="C88" s="4096"/>
      <c r="D88" s="4098" t="s">
        <v>1624</v>
      </c>
      <c r="E88" s="4099"/>
      <c r="F88" s="3627"/>
      <c r="G88" s="4093" t="s">
        <v>1625</v>
      </c>
      <c r="H88" s="4049"/>
      <c r="I88" s="4044" t="s">
        <v>1624</v>
      </c>
      <c r="J88" s="4076"/>
      <c r="K88" s="3636"/>
      <c r="L88" s="4093" t="s">
        <v>1625</v>
      </c>
      <c r="M88" s="4049"/>
      <c r="N88" s="4044" t="s">
        <v>1624</v>
      </c>
      <c r="O88" s="4076"/>
      <c r="P88" s="2268"/>
      <c r="S88" s="1464"/>
      <c r="T88" s="2923" t="s">
        <v>195</v>
      </c>
      <c r="U88" s="3746">
        <v>173</v>
      </c>
      <c r="V88" s="3658" t="s">
        <v>2466</v>
      </c>
      <c r="W88" s="2924" t="s">
        <v>193</v>
      </c>
      <c r="X88" s="1081"/>
      <c r="Y88" s="3586" t="s">
        <v>195</v>
      </c>
      <c r="Z88" s="3746">
        <v>173</v>
      </c>
      <c r="AA88" s="3587" t="s">
        <v>1876</v>
      </c>
      <c r="AB88" s="3588" t="s">
        <v>193</v>
      </c>
      <c r="AC88" s="1081"/>
      <c r="AD88" s="3586" t="s">
        <v>195</v>
      </c>
      <c r="AE88" s="3746">
        <v>173</v>
      </c>
      <c r="AF88" s="3587" t="s">
        <v>1876</v>
      </c>
      <c r="AG88" s="3588" t="s">
        <v>193</v>
      </c>
      <c r="AH88" s="3747"/>
      <c r="AI88" s="3725"/>
    </row>
    <row r="89" spans="1:37" ht="10.95" customHeight="1" thickBot="1" x14ac:dyDescent="0.35">
      <c r="C89" s="2558" t="s">
        <v>2293</v>
      </c>
      <c r="D89" s="1099" t="s">
        <v>1674</v>
      </c>
      <c r="E89" s="2557"/>
      <c r="F89" s="3627"/>
      <c r="G89" s="4075" t="s">
        <v>1652</v>
      </c>
      <c r="H89" s="4075"/>
      <c r="I89" s="4075" t="s">
        <v>1671</v>
      </c>
      <c r="J89" s="4075"/>
      <c r="K89" s="3636"/>
      <c r="L89" s="2487"/>
      <c r="M89" s="1099" t="s">
        <v>1615</v>
      </c>
      <c r="N89" s="1099" t="s">
        <v>1674</v>
      </c>
      <c r="O89" s="2519"/>
      <c r="P89" s="1216"/>
      <c r="S89" s="1464"/>
      <c r="T89" s="3579"/>
      <c r="U89" s="3580" t="s">
        <v>223</v>
      </c>
      <c r="V89" s="1091">
        <f>IF(ISNA(VLOOKUP($V$88,'VAL-INIT'!$J$4:$L$63,3,FALSE)),,VLOOKUP($V$88,'VAL-INIT'!$J$4:$L$63,3,FALSE))</f>
        <v>0</v>
      </c>
      <c r="W89" s="3581" t="s">
        <v>207</v>
      </c>
      <c r="X89" s="1081"/>
      <c r="Y89" s="3579"/>
      <c r="Z89" s="3580" t="s">
        <v>2460</v>
      </c>
      <c r="AA89" s="1091"/>
      <c r="AB89" s="1125" t="s">
        <v>207</v>
      </c>
      <c r="AC89" s="1081"/>
      <c r="AD89" s="3579"/>
      <c r="AE89" s="3580" t="s">
        <v>223</v>
      </c>
      <c r="AF89" s="3744"/>
      <c r="AG89" s="1125" t="s">
        <v>207</v>
      </c>
      <c r="AH89" s="3748"/>
      <c r="AI89" s="3725"/>
    </row>
    <row r="90" spans="1:37" ht="10.95" customHeight="1" thickBot="1" x14ac:dyDescent="0.35">
      <c r="B90" s="2508" t="s">
        <v>186</v>
      </c>
      <c r="C90" s="3462" t="s">
        <v>2337</v>
      </c>
      <c r="D90" s="3482" t="s">
        <v>169</v>
      </c>
      <c r="E90" s="3465"/>
      <c r="F90" s="3627"/>
      <c r="G90" s="2508" t="s">
        <v>186</v>
      </c>
      <c r="H90" s="2516" t="s">
        <v>2294</v>
      </c>
      <c r="I90" s="3483" t="s">
        <v>2286</v>
      </c>
      <c r="J90" s="2509" t="s">
        <v>185</v>
      </c>
      <c r="K90" s="3636"/>
      <c r="L90" s="2508" t="s">
        <v>186</v>
      </c>
      <c r="M90" s="2507" t="s">
        <v>2295</v>
      </c>
      <c r="N90" s="3484" t="s">
        <v>171</v>
      </c>
      <c r="O90" s="2521" t="s">
        <v>185</v>
      </c>
      <c r="P90" s="2470"/>
      <c r="Q90" s="1081"/>
      <c r="R90" s="1081"/>
      <c r="S90" s="1464"/>
      <c r="T90" s="3582">
        <f>'[1]Val-Dép'!E50</f>
        <v>0</v>
      </c>
      <c r="U90" s="1141" t="str">
        <f>IF(( 'Val-Dép'!L50="Crédit-banq" ),'Val-Dép'!AQ50,"0")</f>
        <v>0</v>
      </c>
      <c r="V90" s="3703" t="str">
        <f>IF(('Val-Dép'!L50="Crédit-banq"),'Val-Dép'!W50,"0")</f>
        <v>0</v>
      </c>
      <c r="W90" s="1095"/>
      <c r="X90" s="1081"/>
      <c r="Y90" s="2487"/>
      <c r="Z90" s="1141"/>
      <c r="AA90" s="3701"/>
      <c r="AB90" s="1095"/>
      <c r="AC90" s="1081"/>
      <c r="AD90" s="2487"/>
      <c r="AE90" s="1141"/>
      <c r="AF90" s="1100"/>
      <c r="AG90" s="1095"/>
      <c r="AH90" s="3748"/>
      <c r="AI90" s="3725"/>
    </row>
    <row r="91" spans="1:37" ht="10.95" customHeight="1" x14ac:dyDescent="0.3">
      <c r="B91" s="2522" t="s">
        <v>207</v>
      </c>
      <c r="C91" s="3485">
        <f>IF(ISNA(VLOOKUP($D$90,'VAL-INIT'!$D$4:$F$90,3,FALSE)),,VLOOKUP($D$90,'VAL-INIT'!$D$4:$F$90,3,FALSE))</f>
        <v>25000</v>
      </c>
      <c r="D91" s="2523" t="s">
        <v>208</v>
      </c>
      <c r="E91" s="2524"/>
      <c r="F91" s="3628"/>
      <c r="G91" s="2525" t="s">
        <v>207</v>
      </c>
      <c r="H91" s="3485">
        <f>IF(ISNA(VLOOKUP($I$90,'VAL-INIT'!$D$4:$F$90,3,FALSE)),,VLOOKUP($I$90,'VAL-INIT'!$D$4:$F$90,3,FALSE))</f>
        <v>4800</v>
      </c>
      <c r="I91" s="2526" t="s">
        <v>206</v>
      </c>
      <c r="J91" s="2527"/>
      <c r="K91" s="3637"/>
      <c r="L91" s="2525" t="s">
        <v>207</v>
      </c>
      <c r="M91" s="2804">
        <f>IF(ISNA(VLOOKUP($N$90,'VAL-INIT'!$D$4:$F$90,3,FALSE)),,VLOOKUP($N$90,'VAL-INIT'!$D$4:$F$90,3,FALSE))</f>
        <v>800</v>
      </c>
      <c r="N91" s="2526" t="s">
        <v>206</v>
      </c>
      <c r="O91" s="2528"/>
      <c r="P91" s="1516"/>
      <c r="S91" s="1464"/>
      <c r="T91" s="2487"/>
      <c r="U91" s="1141" t="str">
        <f>IF(( 'Val-Dép'!L51="Crédit-banq" ),'Val-Dép'!AQ51,"0")</f>
        <v>0</v>
      </c>
      <c r="V91" s="3701" t="str">
        <f>IF(('Val-Dép'!L51="Crédit-banq"),'Val-Dép'!W51,"0")</f>
        <v>0</v>
      </c>
      <c r="W91" s="1095"/>
      <c r="X91" s="1081"/>
      <c r="Y91" s="2487"/>
      <c r="Z91" s="1141"/>
      <c r="AA91" s="3701"/>
      <c r="AB91" s="1095"/>
      <c r="AC91" s="1081"/>
      <c r="AD91" s="2487"/>
      <c r="AE91" s="1141"/>
      <c r="AF91" s="1100"/>
      <c r="AG91" s="1095"/>
      <c r="AH91" s="3748"/>
      <c r="AI91" s="3725"/>
    </row>
    <row r="92" spans="1:37" ht="10.95" customHeight="1" x14ac:dyDescent="0.25">
      <c r="B92" s="1307">
        <v>35</v>
      </c>
      <c r="C92" s="2477">
        <f>IF(AND( 'Val-Dép'!AE13="400/550", 'Val-Dép'!I13&lt;&gt;"note de crédit"),VLOOKUP('Val-Dép'!AE13,'Val-Dép'!AE13:AF13,2,FALSE ),"0")</f>
        <v>0</v>
      </c>
      <c r="D92" s="2477">
        <f>IF(AND( 'Val-Dép'!H35="Bq fournis-1an", 'Val-Dép'!I35&lt;&gt;"note de crédit"),VLOOKUP('Val-Dép'!AH35,'Val-Dép'!AH35:AM35,6,FALSE ),"0")</f>
        <v>0</v>
      </c>
      <c r="E92" s="1308">
        <v>1</v>
      </c>
      <c r="F92" s="3629"/>
      <c r="G92" s="1168"/>
      <c r="H92" s="2478" t="str">
        <f>IF(AND( 'Val-Dép'!AE13="440/560",'Val-Dép'!I13&lt;&gt;"note de crédit"),VLOOKUP('Val-Dép'!AE13,'Val-Dép'!AE13:AF13,2,FALSE ),"0")</f>
        <v>0</v>
      </c>
      <c r="I92" s="2475" t="str">
        <f>IF(AND( 'Val-Dép'!H35="Bq post fournis-1an", 'Val-Dép'!I35&lt;&gt;"note de crédit"),VLOOKUP('Val-Dép'!AH35,'Val-Dép'!AH35:AM35,6,FALSE ),"0")</f>
        <v>0</v>
      </c>
      <c r="J92" s="1225"/>
      <c r="K92" s="3635"/>
      <c r="M92" s="2475" t="str">
        <f>IF(AND( 'Val-Dép'!AE13="440/570", 'Val-Dép'!AE13="290/570", 'Val-Dép'!I13&lt;&gt;"note de crédit"),VLOOKUP('Val-Dép'!AE13,'Val-Dép'!AE13:AF13,2,FALSE ),"0")</f>
        <v>0</v>
      </c>
      <c r="N92" s="3577" t="str">
        <f>IF(AND( 'Val-Dép'!H35="Caisse fournis-1an", 'Val-Dép'!I35&lt;&gt;"note de crédit"),VLOOKUP('Val-Dép'!AH35,'Val-Dép'!AH35:AM35,6,FALSE ),"0")</f>
        <v>0</v>
      </c>
      <c r="O92" s="1310"/>
      <c r="P92" s="1171"/>
      <c r="S92" s="1464"/>
      <c r="T92" s="2487"/>
      <c r="U92" s="1141" t="str">
        <f>IF(( 'Val-Dép'!L52="Crédit-banq" ),'Val-Dép'!AQ52,"0")</f>
        <v>0</v>
      </c>
      <c r="V92" s="3701" t="str">
        <f>IF(('Val-Dép'!L52="Crédit-banq"),'Val-Dép'!W52,"0")</f>
        <v>0</v>
      </c>
      <c r="W92" s="1095"/>
      <c r="X92" s="1081"/>
      <c r="Y92" s="2487"/>
      <c r="Z92" s="1141"/>
      <c r="AA92" s="3701"/>
      <c r="AB92" s="1095"/>
      <c r="AC92" s="1081"/>
      <c r="AD92" s="2487"/>
      <c r="AE92" s="1141"/>
      <c r="AF92" s="1100"/>
      <c r="AG92" s="1095"/>
      <c r="AH92" s="3749"/>
      <c r="AI92" s="3725"/>
    </row>
    <row r="93" spans="1:37" ht="10.95" customHeight="1" x14ac:dyDescent="0.25">
      <c r="B93" s="1316">
        <v>36</v>
      </c>
      <c r="C93" s="2477" t="str">
        <f>IF(AND( 'Val-Dép'!AE14="400/550", 'Val-Dép'!I14&lt;&gt;"note de crédit"),VLOOKUP('Val-Dép'!AE14,'Val-Dép'!AE14:AF14,2,FALSE ),"0")</f>
        <v>0</v>
      </c>
      <c r="D93" s="2477">
        <f>IF(AND( 'Val-Dép'!H36="Bq fournis-1an", 'Val-Dép'!I36&lt;&gt;"note de crédit"),VLOOKUP('Val-Dép'!AH36,'Val-Dép'!AH36:AM36,6,FALSE ),"0")</f>
        <v>0</v>
      </c>
      <c r="E93" s="1317"/>
      <c r="F93" s="3629"/>
      <c r="G93" s="1081"/>
      <c r="H93" s="2478" t="str">
        <f>IF(AND( 'Val-Dép'!AE14="440/560",'Val-Dép'!I14&lt;&gt;"note de crédit"),VLOOKUP('Val-Dép'!AE14,'Val-Dép'!AE14:AF14,2,FALSE ),"0")</f>
        <v>0</v>
      </c>
      <c r="I93" s="2475" t="str">
        <f>IF(AND( 'Val-Dép'!H36="Bq post fournis-1an", 'Val-Dép'!I36&lt;&gt;"note de crédit"),VLOOKUP('Val-Dép'!AH36,'Val-Dép'!AH36:AM36,6,FALSE ),"0")</f>
        <v>0</v>
      </c>
      <c r="J93" s="1225"/>
      <c r="K93" s="3635"/>
      <c r="M93" s="2475" t="str">
        <f>IF(AND( 'Val-Dép'!AE14="440/570", 'Val-Dép'!AE14="290/570", 'Val-Dép'!I14&lt;&gt;"note de crédit"),VLOOKUP('Val-Dép'!AE14,'Val-Dép'!AE14:AF14,2,FALSE ),"0")</f>
        <v>0</v>
      </c>
      <c r="N93" s="3577" t="str">
        <f>IF(AND( 'Val-Dép'!H36="Caisse fournis-1an", 'Val-Dép'!I36&lt;&gt;"note de crédit"),VLOOKUP('Val-Dép'!AH36,'Val-Dép'!AH36:AM36,6,FALSE ),"0")</f>
        <v>0</v>
      </c>
      <c r="O93" s="1310"/>
      <c r="P93" s="1431"/>
      <c r="S93" s="1464"/>
      <c r="T93" s="2487"/>
      <c r="U93" s="1141" t="str">
        <f>IF(( 'Val-Dép'!L53="Crédit-banq" ),'Val-Dép'!AQ53,"0")</f>
        <v>0</v>
      </c>
      <c r="V93" s="3702" t="str">
        <f>IF(('Val-Dép'!L53="Crédit-banq"),'Val-Dép'!W53,"0")</f>
        <v>0</v>
      </c>
      <c r="W93" s="1095"/>
      <c r="X93" s="1081"/>
      <c r="Y93" s="2487"/>
      <c r="Z93" s="1141"/>
      <c r="AA93" s="3701"/>
      <c r="AB93" s="1095"/>
      <c r="AC93" s="1081"/>
      <c r="AD93" s="2487"/>
      <c r="AE93" s="1141"/>
      <c r="AF93" s="1100"/>
      <c r="AG93" s="1095"/>
      <c r="AH93" s="3749"/>
      <c r="AI93" s="3726"/>
    </row>
    <row r="94" spans="1:37" ht="10.95" customHeight="1" x14ac:dyDescent="0.25">
      <c r="B94" s="1316">
        <v>37</v>
      </c>
      <c r="C94" s="2477" t="str">
        <f>IF(AND( 'Val-Dép'!AE15="400/550", 'Val-Dép'!I15&lt;&gt;"note de crédit"),VLOOKUP('Val-Dép'!AE15,'Val-Dép'!AE15:AF15,2,FALSE ),"0")</f>
        <v>0</v>
      </c>
      <c r="D94" s="2477" t="str">
        <f>IF(AND( 'Val-Dép'!H37="Bq fournis-1an", 'Val-Dép'!I37&lt;&gt;"note de crédit"),VLOOKUP('Val-Dép'!AH37,'Val-Dép'!AH37:AM37,6,FALSE ),"0")</f>
        <v>0</v>
      </c>
      <c r="E94" s="1317">
        <v>4</v>
      </c>
      <c r="F94" s="3629"/>
      <c r="H94" s="2478" t="str">
        <f>IF(AND( 'Val-Dép'!AE15="440/560",'Val-Dép'!I15&lt;&gt;"note de crédit"),VLOOKUP('Val-Dép'!AE15,'Val-Dép'!AE15:AF15,2,FALSE ),"0")</f>
        <v>0</v>
      </c>
      <c r="I94" s="2475" t="str">
        <f>IF(AND( 'Val-Dép'!H37="Bq post fournis-1an", 'Val-Dép'!I37&lt;&gt;"note de crédit"),VLOOKUP('Val-Dép'!AH37,'Val-Dép'!AH37:AM37,6,FALSE ),"0")</f>
        <v>0</v>
      </c>
      <c r="J94" s="1225"/>
      <c r="K94" s="3635"/>
      <c r="M94" s="2475" t="str">
        <f>IF(AND( 'Val-Dép'!AE15="440/570", 'Val-Dép'!AE15="290/570", 'Val-Dép'!I15&lt;&gt;"note de crédit"),VLOOKUP('Val-Dép'!AE15,'Val-Dép'!AE15:AF15,2,FALSE ),"0")</f>
        <v>0</v>
      </c>
      <c r="N94" s="3577" t="str">
        <f>IF(AND( 'Val-Dép'!H37="Caisse fournis-1an", 'Val-Dép'!I37&lt;&gt;"note de crédit"),VLOOKUP('Val-Dép'!AH37,'Val-Dép'!AH37:AM37,6,FALSE ),"0")</f>
        <v>0</v>
      </c>
      <c r="O94" s="1310"/>
      <c r="P94" s="1431"/>
      <c r="S94" s="1464"/>
      <c r="T94" s="2487"/>
      <c r="U94" s="1141" t="str">
        <f>IF(( 'Val-Dép'!L54="Crédit-banq" ),'Val-Dép'!AQ54,"0")</f>
        <v>0</v>
      </c>
      <c r="V94" s="3701" t="str">
        <f>IF(('Val-Dép'!L54="Crédit-banq"),'Val-Dép'!W54,"0")</f>
        <v>0</v>
      </c>
      <c r="W94" s="1095"/>
      <c r="X94" s="1081"/>
      <c r="Y94" s="2487"/>
      <c r="Z94" s="1141"/>
      <c r="AA94" s="3702"/>
      <c r="AB94" s="1095"/>
      <c r="AC94" s="1081"/>
      <c r="AD94" s="2487"/>
      <c r="AE94" s="1141"/>
      <c r="AF94" s="1100"/>
      <c r="AG94" s="1095"/>
      <c r="AH94" s="1573"/>
      <c r="AI94" s="3726"/>
    </row>
    <row r="95" spans="1:37" ht="10.95" customHeight="1" x14ac:dyDescent="0.25">
      <c r="B95" s="1316">
        <v>38</v>
      </c>
      <c r="C95" s="2477" t="str">
        <f>IF(AND( 'Val-Dép'!AE16="400/550", 'Val-Dép'!I16&lt;&gt;"note de crédit"),VLOOKUP('Val-Dép'!AE16,'Val-Dép'!AE16:AF16,2,FALSE ),"0")</f>
        <v>0</v>
      </c>
      <c r="D95" s="2477" t="str">
        <f>IF(AND( 'Val-Dép'!H38="Bq fournis-1an", 'Val-Dép'!I38&lt;&gt;"note de crédit"),VLOOKUP('Val-Dép'!AH38,'Val-Dép'!AH38:AM38,6,FALSE ),"0")</f>
        <v>0</v>
      </c>
      <c r="E95" s="1317"/>
      <c r="F95" s="3630"/>
      <c r="G95" s="1081"/>
      <c r="H95" s="2478" t="str">
        <f>IF(AND( 'Val-Dép'!AE16="440/560",'Val-Dép'!I16&lt;&gt;"note de crédit"),VLOOKUP('Val-Dép'!AE16,'Val-Dép'!AE16:AF16,2,FALSE ),"0")</f>
        <v>0</v>
      </c>
      <c r="I95" s="2475" t="str">
        <f>IF(AND( 'Val-Dép'!H38="Bq post fournis-1an", 'Val-Dép'!I38&lt;&gt;"note de crédit"),VLOOKUP('Val-Dép'!AH38,'Val-Dép'!AH38:AM38,6,FALSE ),"0")</f>
        <v>0</v>
      </c>
      <c r="J95" s="1225"/>
      <c r="K95" s="3635"/>
      <c r="M95" s="2475" t="str">
        <f>IF(AND( 'Val-Dép'!AE16="440/570", 'Val-Dép'!AE16="290/570", 'Val-Dép'!I16&lt;&gt;"note de crédit"),VLOOKUP('Val-Dép'!AE16,'Val-Dép'!AE16:AF16,2,FALSE ),"0")</f>
        <v>0</v>
      </c>
      <c r="N95" s="3577" t="str">
        <f>IF(AND( 'Val-Dép'!H38="Caisse fournis-1an", 'Val-Dép'!I38&lt;&gt;"note de crédit"),VLOOKUP('Val-Dép'!AH38,'Val-Dép'!AH38:AM38,6,FALSE ),"0")</f>
        <v>0</v>
      </c>
      <c r="O95" s="1310"/>
      <c r="P95" s="1431"/>
      <c r="S95" s="1464"/>
      <c r="T95" s="2487"/>
      <c r="U95" s="1141" t="str">
        <f>IF(( 'Val-Dép'!L55="Crédit-banq" ),'Val-Dép'!AQ55,"0")</f>
        <v>0</v>
      </c>
      <c r="V95" s="3701" t="str">
        <f>IF(('Val-Dép'!L55="Crédit-banq"),'Val-Dép'!W55,"0")</f>
        <v>0</v>
      </c>
      <c r="W95" s="1095"/>
      <c r="X95" s="1258"/>
      <c r="Y95" s="2487"/>
      <c r="Z95" s="1141"/>
      <c r="AA95" s="3701"/>
      <c r="AB95" s="1095"/>
      <c r="AC95" s="1258"/>
      <c r="AD95" s="2487"/>
      <c r="AE95" s="1141"/>
      <c r="AF95" s="1100"/>
      <c r="AG95" s="1095"/>
      <c r="AH95" s="1573"/>
      <c r="AI95" s="3726"/>
    </row>
    <row r="96" spans="1:37" ht="10.95" customHeight="1" thickBot="1" x14ac:dyDescent="0.3">
      <c r="B96" s="1316">
        <v>39</v>
      </c>
      <c r="C96" s="2477" t="str">
        <f>IF(AND( 'Val-Dép'!AE17="400/550", 'Val-Dép'!I17&lt;&gt;"note de crédit"),VLOOKUP('Val-Dép'!AE17,'Val-Dép'!AE17:AF17,2,FALSE ),"0")</f>
        <v>0</v>
      </c>
      <c r="D96" s="2477" t="str">
        <f>IF(AND( 'Val-Dép'!H39="Bq fournis-1an", 'Val-Dép'!I39&lt;&gt;"note de crédit"),VLOOKUP('Val-Dép'!AH39,'Val-Dép'!AH39:AM39,6,FALSE ),"0")</f>
        <v>0</v>
      </c>
      <c r="E96" s="1319"/>
      <c r="F96" s="3630"/>
      <c r="G96" s="1081"/>
      <c r="H96" s="2478" t="str">
        <f>IF(AND( 'Val-Dép'!AE17="440/560",'Val-Dép'!I17&lt;&gt;"note de crédit"),VLOOKUP('Val-Dép'!AE17,'Val-Dép'!AE17:AF17,2,FALSE ),"0")</f>
        <v>0</v>
      </c>
      <c r="I96" s="2475" t="str">
        <f>IF(AND( 'Val-Dép'!H39="Bq post fournis-1an", 'Val-Dép'!I39&lt;&gt;"note de crédit"),VLOOKUP('Val-Dép'!AH39,'Val-Dép'!AH39:AM39,6,FALSE ),"0")</f>
        <v>0</v>
      </c>
      <c r="J96" s="1225"/>
      <c r="K96" s="3635"/>
      <c r="M96" s="2475" t="str">
        <f>IF(AND( 'Val-Dép'!AE17="440/570", 'Val-Dép'!AE17="290/570", 'Val-Dép'!I17&lt;&gt;"note de crédit"),VLOOKUP('Val-Dép'!AE17,'Val-Dép'!AE17:AF17,2,FALSE ),"0")</f>
        <v>0</v>
      </c>
      <c r="N96" s="3577" t="str">
        <f>IF(AND( 'Val-Dép'!H39="Caisse fournis-1an", 'Val-Dép'!I39&lt;&gt;"note de crédit"),VLOOKUP('Val-Dép'!AH39,'Val-Dép'!AH39:AM39,6,FALSE ),"0")</f>
        <v>0</v>
      </c>
      <c r="O96" s="1310"/>
      <c r="P96" s="1431"/>
      <c r="S96" s="1464"/>
      <c r="T96" s="2487"/>
      <c r="U96" s="1141" t="str">
        <f>IF(( 'Val-Dép'!L56="Crédit-banq" ),'Val-Dép'!AQ56,"0")</f>
        <v>0</v>
      </c>
      <c r="V96" s="3701" t="str">
        <f>IF(('Val-Dép'!L56="Crédit-banq"),'Val-Dép'!W56,"0")</f>
        <v>0</v>
      </c>
      <c r="W96" s="3583"/>
      <c r="X96" s="1213"/>
      <c r="Y96" s="2487"/>
      <c r="Z96" s="1141"/>
      <c r="AA96" s="3701"/>
      <c r="AB96" s="3583"/>
      <c r="AC96" s="1258"/>
      <c r="AD96" s="2487"/>
      <c r="AE96" s="1141"/>
      <c r="AF96" s="1100"/>
      <c r="AG96" s="3583"/>
      <c r="AH96" s="1573"/>
      <c r="AI96" s="3726"/>
    </row>
    <row r="97" spans="2:35" ht="10.95" customHeight="1" x14ac:dyDescent="0.25">
      <c r="B97" s="1320" t="s">
        <v>359</v>
      </c>
      <c r="C97" s="2477" t="str">
        <f>IF(AND( 'Val-Dép'!AE18="400/550", 'Val-Dép'!I18&lt;&gt;"note de crédit"),VLOOKUP('Val-Dép'!AE18,'Val-Dép'!AE18:AF18,2,FALSE ),"0")</f>
        <v>0</v>
      </c>
      <c r="D97" s="2477" t="str">
        <f>IF(AND( 'Val-Dép'!H40="Bq fournis-1an", 'Val-Dép'!I40&lt;&gt;"note de crédit"),VLOOKUP('Val-Dép'!AH40,'Val-Dép'!AH40:AM40,6,FALSE ),"0")</f>
        <v>0</v>
      </c>
      <c r="E97" s="1319"/>
      <c r="F97" s="3630"/>
      <c r="H97" s="2478" t="str">
        <f>IF(AND( 'Val-Dép'!AE18="440/560",'Val-Dép'!I18&lt;&gt;"note de crédit"),VLOOKUP('Val-Dép'!AE18,'Val-Dép'!AE18:AF18,2,FALSE ),"0")</f>
        <v>0</v>
      </c>
      <c r="I97" s="2475" t="str">
        <f>IF(AND( 'Val-Dép'!H40="Bq post fournis-1an", 'Val-Dép'!I40&lt;&gt;"note de crédit"),VLOOKUP('Val-Dép'!AH40,'Val-Dép'!AH40:AM40,6,FALSE ),"0")</f>
        <v>0</v>
      </c>
      <c r="J97" s="1225"/>
      <c r="K97" s="3635"/>
      <c r="M97" s="2475" t="str">
        <f>IF(AND( 'Val-Dép'!AE18="440/570", 'Val-Dép'!AE18="290/570", 'Val-Dép'!I18&lt;&gt;"note de crédit"),VLOOKUP('Val-Dép'!AE18,'Val-Dép'!AE18:AF18,2,FALSE ),"0")</f>
        <v>0</v>
      </c>
      <c r="N97" s="3577" t="str">
        <f>IF(AND( 'Val-Dép'!H40="Caisse fournis-1an", 'Val-Dép'!I40&lt;&gt;"note de crédit"),VLOOKUP('Val-Dép'!AH40,'Val-Dép'!AH40:AM40,6,FALSE ),"0")</f>
        <v>0</v>
      </c>
      <c r="O97" s="1321"/>
      <c r="P97" s="1431"/>
      <c r="S97" s="1464"/>
      <c r="T97" s="2487"/>
      <c r="U97" s="1141" t="str">
        <f>IF(( 'Val-Dép'!L57="Crédit-banq" ),'Val-Dép'!AQ57,"0")</f>
        <v>0</v>
      </c>
      <c r="V97" s="3701" t="str">
        <f>IF(('Val-Dép'!L57="Crédit-banq"),'Val-Dép'!W57,"0")</f>
        <v>0</v>
      </c>
      <c r="W97" s="2487"/>
      <c r="X97" s="1213"/>
      <c r="Y97" s="2487"/>
      <c r="Z97" s="1141"/>
      <c r="AA97" s="3701"/>
      <c r="AB97" s="2487"/>
      <c r="AC97" s="1258"/>
      <c r="AD97" s="2487"/>
      <c r="AE97" s="1141"/>
      <c r="AF97" s="1100"/>
      <c r="AG97" s="2487"/>
      <c r="AH97" s="1573"/>
      <c r="AI97" s="3726"/>
    </row>
    <row r="98" spans="2:35" ht="10.95" customHeight="1" x14ac:dyDescent="0.25">
      <c r="B98" s="1320" t="s">
        <v>360</v>
      </c>
      <c r="C98" s="2477" t="str">
        <f>IF(AND( 'Val-Dép'!AE19="400/550", 'Val-Dép'!I19&lt;&gt;"note de crédit"),VLOOKUP('Val-Dép'!AE19,'Val-Dép'!AE19:AF19,2,FALSE ),"0")</f>
        <v>0</v>
      </c>
      <c r="D98" s="2477" t="str">
        <f>IF(AND( 'Val-Dép'!H41="Bq fournis-1an", 'Val-Dép'!I41&lt;&gt;"note de crédit"),VLOOKUP('Val-Dép'!AH41,'Val-Dép'!AH41:AM41,6,FALSE ),"0")</f>
        <v>0</v>
      </c>
      <c r="E98" s="1322"/>
      <c r="F98" s="3629"/>
      <c r="G98" s="1081"/>
      <c r="H98" s="2478" t="str">
        <f>IF(AND( 'Val-Dép'!AE19="440/560",'Val-Dép'!I19&lt;&gt;"note de crédit"),VLOOKUP('Val-Dép'!AE19,'Val-Dép'!AE19:AF19,2,FALSE ),"0")</f>
        <v>0</v>
      </c>
      <c r="I98" s="2475" t="str">
        <f>IF(AND( 'Val-Dép'!H41="Bq post fournis-1an", 'Val-Dép'!I41&lt;&gt;"note de crédit"),VLOOKUP('Val-Dép'!AH41,'Val-Dép'!AH41:AM41,6,FALSE ),"0")</f>
        <v>0</v>
      </c>
      <c r="J98" s="1225"/>
      <c r="K98" s="3635"/>
      <c r="M98" s="2475" t="str">
        <f>IF(AND( 'Val-Dép'!AE19="440/570", 'Val-Dép'!AE19="290/570", 'Val-Dép'!I19&lt;&gt;"note de crédit"),VLOOKUP('Val-Dép'!AE19,'Val-Dép'!AE19:AF19,2,FALSE ),"0")</f>
        <v>0</v>
      </c>
      <c r="N98" s="3577" t="str">
        <f>IF(AND( 'Val-Dép'!H41="Caisse fournis-1an", 'Val-Dép'!I41&lt;&gt;"note de crédit"),VLOOKUP('Val-Dép'!AH41,'Val-Dép'!AH41:AM41,6,FALSE ),"0")</f>
        <v>0</v>
      </c>
      <c r="O98" s="1323"/>
      <c r="P98" s="1688"/>
      <c r="S98" s="1464"/>
      <c r="T98" s="3744"/>
      <c r="U98" s="1141" t="str">
        <f>IF(( 'Val-Dép'!L58="Crédit-banq" ),'Val-Dép'!AQ58,"0")</f>
        <v>0</v>
      </c>
      <c r="V98" s="3701" t="str">
        <f>IF(('Val-Dép'!L58="Crédit-banq"),'Val-Dép'!W58,"0")</f>
        <v>0</v>
      </c>
      <c r="W98" s="3744"/>
      <c r="X98" s="1213"/>
      <c r="Y98" s="2487"/>
      <c r="Z98" s="1141"/>
      <c r="AA98" s="2573"/>
      <c r="AB98" s="2487"/>
      <c r="AC98" s="1258"/>
      <c r="AD98" s="2487"/>
      <c r="AE98" s="1141"/>
      <c r="AF98" s="2573"/>
      <c r="AG98" s="2487"/>
      <c r="AH98" s="1573"/>
      <c r="AI98" s="3726"/>
    </row>
    <row r="99" spans="2:35" ht="10.95" customHeight="1" thickBot="1" x14ac:dyDescent="0.3">
      <c r="B99" s="1320" t="s">
        <v>361</v>
      </c>
      <c r="C99" s="2477" t="str">
        <f>IF(AND( 'Val-Dép'!AE20="400/550", 'Val-Dép'!I20&lt;&gt;"note de crédit"),VLOOKUP('Val-Dép'!AE20,'Val-Dép'!AE20:AF20,2,FALSE ),"0")</f>
        <v>0</v>
      </c>
      <c r="D99" s="2477" t="str">
        <f>IF(AND( 'Val-Dép'!H42="Bq fournis-1an", 'Val-Dép'!I42&lt;&gt;"note de crédit"),VLOOKUP('Val-Dép'!AH42,'Val-Dép'!AH42:AM42,6,FALSE ),"0")</f>
        <v>0</v>
      </c>
      <c r="E99" s="1261"/>
      <c r="F99" s="3631"/>
      <c r="G99" s="1261"/>
      <c r="H99" s="2478" t="str">
        <f>IF(AND( 'Val-Dép'!AE20="440/560",'Val-Dép'!I20&lt;&gt;"note de crédit"),VLOOKUP('Val-Dép'!AE20,'Val-Dép'!AE20:AF20,2,FALSE ),"0")</f>
        <v>0</v>
      </c>
      <c r="I99" s="2475" t="str">
        <f>IF(AND( 'Val-Dép'!H42="Bq post fournis-1an", 'Val-Dép'!I42&lt;&gt;"note de crédit"),VLOOKUP('Val-Dép'!AH42,'Val-Dép'!AH42:AM42,6,FALSE ),"0")</f>
        <v>0</v>
      </c>
      <c r="J99" s="1225"/>
      <c r="K99" s="3635"/>
      <c r="M99" s="2475" t="str">
        <f>IF(AND( 'Val-Dép'!AE20="440/570", 'Val-Dép'!AE20="290/570", 'Val-Dép'!I20&lt;&gt;"note de crédit"),VLOOKUP('Val-Dép'!AE20,'Val-Dép'!AE20:AF20,2,FALSE ),"0")</f>
        <v>0</v>
      </c>
      <c r="N99" s="3577" t="str">
        <f>IF(AND( 'Val-Dép'!H42="Caisse fournis-1an", 'Val-Dép'!I42&lt;&gt;"note de crédit"),VLOOKUP('Val-Dép'!AH42,'Val-Dép'!AH42:AM42,6,FALSE ),"0")</f>
        <v>0</v>
      </c>
      <c r="O99" s="1323"/>
      <c r="P99" s="1348"/>
      <c r="S99" s="1464"/>
      <c r="T99" s="3744"/>
      <c r="U99" s="1141"/>
      <c r="V99" s="3701" t="str">
        <f>IF(('Val-Dép'!L59="Crédit-banq"),'Val-Dép'!W59,"0")</f>
        <v>0</v>
      </c>
      <c r="W99" s="3745"/>
      <c r="X99" s="1213"/>
      <c r="Y99" s="2487"/>
      <c r="Z99" s="1141"/>
      <c r="AA99" s="2517"/>
      <c r="AB99" s="2487"/>
      <c r="AC99" s="1258"/>
      <c r="AD99" s="2517"/>
      <c r="AE99" s="1141"/>
      <c r="AF99" s="2517"/>
      <c r="AG99" s="3666"/>
      <c r="AH99" s="3648"/>
      <c r="AI99" s="3726"/>
    </row>
    <row r="100" spans="2:35" s="3494" customFormat="1" ht="10.95" customHeight="1" x14ac:dyDescent="0.25">
      <c r="B100" s="2808" t="s">
        <v>362</v>
      </c>
      <c r="C100" s="2477" t="str">
        <f>IF(AND( 'Val-Dép'!AE21="400/550", 'Val-Dép'!I21&lt;&gt;"note de crédit"),VLOOKUP('Val-Dép'!AE21,'Val-Dép'!AE21:AF21,2,FALSE ),"0")</f>
        <v>0</v>
      </c>
      <c r="D100" s="2477" t="str">
        <f>IF(AND( 'Val-Dép'!H43="Bq fournis-1an", 'Val-Dép'!I43&lt;&gt;"note de crédit"),VLOOKUP('Val-Dép'!AH43,'Val-Dép'!AH43:AM43,6,FALSE ),"0")</f>
        <v>0</v>
      </c>
      <c r="E100" s="3495"/>
      <c r="F100" s="3632"/>
      <c r="G100" s="3495"/>
      <c r="H100" s="2478" t="str">
        <f>IF(AND( 'Val-Dép'!AE21="440/560",'Val-Dép'!I21&lt;&gt;"note de crédit"),VLOOKUP('Val-Dép'!AE21,'Val-Dép'!AE21:AF21,2,FALSE ),"0")</f>
        <v>0</v>
      </c>
      <c r="I100" s="2475" t="str">
        <f>IF(AND( 'Val-Dép'!H43="Bq post fournis-1an", 'Val-Dép'!I43&lt;&gt;"note de crédit"),VLOOKUP('Val-Dép'!AH43,'Val-Dép'!AH43:AM43,6,FALSE ),"0")</f>
        <v>0</v>
      </c>
      <c r="J100" s="2812"/>
      <c r="K100" s="3638"/>
      <c r="L100" s="3495"/>
      <c r="M100" s="2475" t="str">
        <f>IF(AND( 'Val-Dép'!AE21="440/570", 'Val-Dép'!AE21="290/570", 'Val-Dép'!I21&lt;&gt;"note de crédit"),VLOOKUP('Val-Dép'!AE21,'Val-Dép'!AE21:AF21,2,FALSE ),"0")</f>
        <v>0</v>
      </c>
      <c r="N100" s="3577" t="str">
        <f>IF(AND( 'Val-Dép'!H43="Caisse fournis-1an", 'Val-Dép'!I43&lt;&gt;"note de crédit"),VLOOKUP('Val-Dép'!AH43,'Val-Dép'!AH43:AM43,6,FALSE ),"0")</f>
        <v>0</v>
      </c>
      <c r="O100" s="2815"/>
      <c r="P100" s="2816"/>
      <c r="S100" s="1464"/>
      <c r="T100" s="4100"/>
      <c r="U100" s="3590" t="str">
        <f>IF( 'Val-Dép'!H55="173",VLOOKUP('Val-Dép'!H55,'Val-Dép'!H55:I55,2,FALSE),"0")</f>
        <v>0</v>
      </c>
      <c r="V100" s="1100"/>
      <c r="W100" s="3750"/>
      <c r="X100" s="1162"/>
      <c r="Y100" s="3584"/>
      <c r="Z100" s="3590" t="str">
        <f>IF( 'Val-Dép'!M55="173",VLOOKUP('Val-Dép'!M55,'Val-Dép'!M55:N55,2,FALSE),"0")</f>
        <v>0</v>
      </c>
      <c r="AA100" s="1100"/>
      <c r="AB100" s="3750"/>
      <c r="AC100" s="1081"/>
      <c r="AD100" s="3584"/>
      <c r="AE100" s="3590" t="str">
        <f>IF( 'Val-Dép'!R55="173",VLOOKUP('Val-Dép'!R55,'Val-Dép'!R55:S55,2,FALSE),"0")</f>
        <v>0</v>
      </c>
      <c r="AF100" s="1100"/>
      <c r="AG100" s="3750"/>
      <c r="AH100" s="3648"/>
      <c r="AI100" s="3726"/>
    </row>
    <row r="101" spans="2:35" ht="10.95" customHeight="1" thickBot="1" x14ac:dyDescent="0.3">
      <c r="B101" s="1320" t="s">
        <v>55</v>
      </c>
      <c r="C101" s="2477" t="str">
        <f>IF(AND( 'Val-Dép'!AE22="400/550", 'Val-Dép'!I22&lt;&gt;"note de crédit"),VLOOKUP('Val-Dép'!AE22,'Val-Dép'!AE22:AF22,2,FALSE ),"0")</f>
        <v>0</v>
      </c>
      <c r="D101" s="2477" t="str">
        <f>IF(AND( 'Val-Dép'!H44="Bq fournis-1an", 'Val-Dép'!I44&lt;&gt;"note de crédit"),VLOOKUP('Val-Dép'!AH44,'Val-Dép'!AH44:AM44,6,FALSE ),"0")</f>
        <v>0</v>
      </c>
      <c r="E101" s="1081"/>
      <c r="F101" s="3631"/>
      <c r="G101" s="1081"/>
      <c r="H101" s="2478" t="str">
        <f>IF(AND( 'Val-Dép'!AE22="440/560",'Val-Dép'!I22&lt;&gt;"note de crédit"),VLOOKUP('Val-Dép'!AE22,'Val-Dép'!AE22:AF22,2,FALSE ),"0")</f>
        <v>0</v>
      </c>
      <c r="I101" s="2475" t="str">
        <f>IF(AND( 'Val-Dép'!H44="Bq post fournis-1an", 'Val-Dép'!I44&lt;&gt;"note de crédit"),VLOOKUP('Val-Dép'!AH44,'Val-Dép'!AH44:AM44,6,FALSE ),"0")</f>
        <v>0</v>
      </c>
      <c r="J101" s="1225"/>
      <c r="K101" s="3639"/>
      <c r="M101" s="2475" t="str">
        <f>IF(AND( 'Val-Dép'!AE22="440/570", 'Val-Dép'!AE22="290/570", 'Val-Dép'!I22&lt;&gt;"note de crédit"),VLOOKUP('Val-Dép'!AE22,'Val-Dép'!AE22:AF22,2,FALSE ),"0")</f>
        <v>0</v>
      </c>
      <c r="N101" s="3577" t="str">
        <f>IF(AND( 'Val-Dép'!H44="Caisse fournis-1an", 'Val-Dép'!I44&lt;&gt;"note de crédit"),VLOOKUP('Val-Dép'!AH44,'Val-Dép'!AH44:AM44,6,FALSE ),"0")</f>
        <v>0</v>
      </c>
      <c r="O101" s="1323"/>
      <c r="P101" s="1348"/>
      <c r="S101" s="1464"/>
      <c r="T101" s="4100"/>
      <c r="U101" s="3590">
        <f>IF( 'Val-Dép'!H56="173",VLOOKUP('Val-Dép'!H56,'Val-Dép'!H56:I56,2,FALSE),"0")</f>
        <v>0</v>
      </c>
      <c r="V101" s="3589"/>
      <c r="W101" s="3750"/>
      <c r="X101" s="1162"/>
      <c r="Y101" s="3584"/>
      <c r="Z101" s="3590" t="str">
        <f>IF( 'Val-Dép'!M56="173",VLOOKUP('Val-Dép'!M56,'Val-Dép'!M56:N56,2,FALSE),"0")</f>
        <v>0</v>
      </c>
      <c r="AA101" s="3589"/>
      <c r="AB101" s="3750"/>
      <c r="AC101" s="1202"/>
      <c r="AD101" s="3584"/>
      <c r="AE101" s="3590" t="str">
        <f>IF( 'Val-Dép'!R56="173",VLOOKUP('Val-Dép'!R56,'Val-Dép'!R56:S56,2,FALSE),"0")</f>
        <v>0</v>
      </c>
      <c r="AF101" s="3589"/>
      <c r="AG101" s="3750"/>
      <c r="AH101" s="3648"/>
      <c r="AI101" s="3726"/>
    </row>
    <row r="102" spans="2:35" ht="10.95" customHeight="1" thickBot="1" x14ac:dyDescent="0.3">
      <c r="B102" s="1324" t="s">
        <v>58</v>
      </c>
      <c r="C102" s="2477" t="str">
        <f>IF(AND( 'Val-Dép'!AE23="400/550", 'Val-Dép'!I23&lt;&gt;"note de crédit"),VLOOKUP('Val-Dép'!AE23,'Val-Dép'!AE23:AF23,2,FALSE ),"0")</f>
        <v>0</v>
      </c>
      <c r="D102" s="2477" t="str">
        <f>IF(AND( 'Val-Dép'!H45="Bq fournis-1an", 'Val-Dép'!I45&lt;&gt;"note de crédit"),VLOOKUP('Val-Dép'!AH45,'Val-Dép'!AH45:AM45,6,FALSE ),"0")</f>
        <v>0</v>
      </c>
      <c r="E102" s="1081"/>
      <c r="F102" s="3631"/>
      <c r="G102" s="1081"/>
      <c r="H102" s="2478" t="str">
        <f>IF(AND( 'Val-Dép'!AE23="440/560",'Val-Dép'!I23&lt;&gt;"note de crédit"),VLOOKUP('Val-Dép'!AE23,'Val-Dép'!AE23:AF23,2,FALSE ),"0")</f>
        <v>0</v>
      </c>
      <c r="I102" s="2475" t="str">
        <f>IF(AND( 'Val-Dép'!H45="Bq post fournis-1an", 'Val-Dép'!I45&lt;&gt;"note de crédit"),VLOOKUP('Val-Dép'!AH45,'Val-Dép'!AH45:AM45,6,FALSE ),"0")</f>
        <v>0</v>
      </c>
      <c r="J102" s="1225"/>
      <c r="K102" s="3629"/>
      <c r="M102" s="2475" t="str">
        <f>IF(AND( 'Val-Dép'!AE23="440/570", 'Val-Dép'!AE23="290/570", 'Val-Dép'!I23&lt;&gt;"note de crédit"),VLOOKUP('Val-Dép'!AE23,'Val-Dép'!AE23:AF23,2,FALSE ),"0")</f>
        <v>0</v>
      </c>
      <c r="N102" s="3577" t="str">
        <f>IF(AND( 'Val-Dép'!H45="Caisse fournis-1an", 'Val-Dép'!I45&lt;&gt;"note de crédit"),VLOOKUP('Val-Dép'!AH45,'Val-Dép'!AH45:AM45,6,FALSE ),"0")</f>
        <v>0</v>
      </c>
      <c r="O102" s="1323"/>
      <c r="P102" s="1348"/>
      <c r="S102" s="1464"/>
      <c r="T102" s="4100"/>
      <c r="U102" s="3590" t="str">
        <f>IF( 'Val-Dép'!H57="173",VLOOKUP('Val-Dép'!H57,'Val-Dép'!H57:I57,2,FALSE),"0")</f>
        <v>0</v>
      </c>
      <c r="V102" s="3589"/>
      <c r="W102" s="3750"/>
      <c r="X102" s="1162"/>
      <c r="Y102" s="3584"/>
      <c r="Z102" s="3590" t="str">
        <f>IF( 'Val-Dép'!M57="173",VLOOKUP('Val-Dép'!M57,'Val-Dép'!M57:N57,2,FALSE),"0")</f>
        <v>0</v>
      </c>
      <c r="AA102" s="3589"/>
      <c r="AB102" s="3750"/>
      <c r="AC102" s="2473"/>
      <c r="AD102" s="3584"/>
      <c r="AE102" s="3590" t="str">
        <f>IF( 'Val-Dép'!R57="173",VLOOKUP('Val-Dép'!R57,'Val-Dép'!R57:S57,2,FALSE),"0")</f>
        <v>0</v>
      </c>
      <c r="AF102" s="3589"/>
      <c r="AG102" s="3750"/>
      <c r="AH102" s="3648"/>
      <c r="AI102" s="3726"/>
    </row>
    <row r="103" spans="2:35" ht="10.95" customHeight="1" thickBot="1" x14ac:dyDescent="0.3">
      <c r="B103" s="1324" t="s">
        <v>62</v>
      </c>
      <c r="C103" s="2477" t="str">
        <f>IF(AND( 'Val-Dép'!AE24="400/550", 'Val-Dép'!I24&lt;&gt;"note de crédit"),VLOOKUP('Val-Dép'!AE24,'Val-Dép'!AE24:AF24,2,FALSE ),"0")</f>
        <v>0</v>
      </c>
      <c r="D103" s="2477" t="str">
        <f>IF(AND( 'Val-Dép'!H46="Bq fournis-1an", 'Val-Dép'!I46&lt;&gt;"note de crédit"),VLOOKUP('Val-Dép'!AH46,'Val-Dép'!AH46:AM46,6,FALSE ),"0")</f>
        <v>0</v>
      </c>
      <c r="E103" s="1081"/>
      <c r="F103" s="3631"/>
      <c r="G103" s="1081"/>
      <c r="H103" s="2478" t="str">
        <f>IF(AND( 'Val-Dép'!AE24="440/560",'Val-Dép'!I24&lt;&gt;"note de crédit"),VLOOKUP('Val-Dép'!AE24,'Val-Dép'!AE24:AF24,2,FALSE ),"0")</f>
        <v>0</v>
      </c>
      <c r="I103" s="2475" t="str">
        <f>IF(AND( 'Val-Dép'!H46="Bq post fournis-1an", 'Val-Dép'!I46&lt;&gt;"note de crédit"),VLOOKUP('Val-Dép'!AH46,'Val-Dép'!AH46:AM46,6,FALSE ),"0")</f>
        <v>0</v>
      </c>
      <c r="J103" s="1225"/>
      <c r="K103" s="3629"/>
      <c r="M103" s="2475" t="str">
        <f>IF(AND( 'Val-Dép'!AE24="440/570", 'Val-Dép'!AE24="290/570", 'Val-Dép'!I24&lt;&gt;"note de crédit"),VLOOKUP('Val-Dép'!AE24,'Val-Dép'!AE24:AF24,2,FALSE ),"0")</f>
        <v>0</v>
      </c>
      <c r="N103" s="3577" t="str">
        <f>IF(AND( 'Val-Dép'!H46="Caisse fournis-1an", 'Val-Dép'!I46&lt;&gt;"note de crédit"),VLOOKUP('Val-Dép'!AH46,'Val-Dép'!AH46:AM46,6,FALSE ),"0")</f>
        <v>0</v>
      </c>
      <c r="O103" s="1348"/>
      <c r="P103" s="1348"/>
      <c r="S103" s="1464"/>
      <c r="T103" s="4100"/>
      <c r="U103" s="3590" t="str">
        <f>IF( 'Val-Dép'!H58="173",VLOOKUP('Val-Dép'!H58,'Val-Dép'!H58:I58,2,FALSE),"0")</f>
        <v>0</v>
      </c>
      <c r="V103" s="3589"/>
      <c r="W103" s="3750" t="s">
        <v>1677</v>
      </c>
      <c r="X103" s="1162"/>
      <c r="Y103" s="3584"/>
      <c r="Z103" s="3590" t="str">
        <f>IF( 'Val-Dép'!M58="173",VLOOKUP('Val-Dép'!M58,'Val-Dép'!M58:N58,2,FALSE),"0")</f>
        <v>0</v>
      </c>
      <c r="AA103" s="3589"/>
      <c r="AB103" s="3750" t="s">
        <v>1677</v>
      </c>
      <c r="AC103" s="1081"/>
      <c r="AD103" s="3584"/>
      <c r="AE103" s="3590" t="str">
        <f>IF( 'Val-Dép'!R58="173",VLOOKUP('Val-Dép'!R58,'Val-Dép'!R58:S58,2,FALSE),"0")</f>
        <v>0</v>
      </c>
      <c r="AF103" s="3589"/>
      <c r="AG103" s="3750" t="s">
        <v>1677</v>
      </c>
      <c r="AH103" s="3648"/>
      <c r="AI103" s="3726"/>
    </row>
    <row r="104" spans="2:35" ht="10.95" customHeight="1" thickBot="1" x14ac:dyDescent="0.3">
      <c r="B104" s="1324" t="s">
        <v>63</v>
      </c>
      <c r="C104" s="2477" t="str">
        <f>IF(AND( 'Val-Dép'!AE25="400/550", 'Val-Dép'!I25&lt;&gt;"note de crédit"),VLOOKUP('Val-Dép'!AE25,'Val-Dép'!AE25:AF25,2,FALSE ),"0")</f>
        <v>0</v>
      </c>
      <c r="D104" s="2477" t="str">
        <f>IF(AND( 'Val-Dép'!H47="Bq fournis-1an", 'Val-Dép'!I47&lt;&gt;"note de crédit"),VLOOKUP('Val-Dép'!AH47,'Val-Dép'!AH47:AM47,6,FALSE ),"0")</f>
        <v>0</v>
      </c>
      <c r="E104" s="1081"/>
      <c r="F104" s="3631"/>
      <c r="G104" s="1081"/>
      <c r="H104" s="2478" t="str">
        <f>IF(AND( 'Val-Dép'!AE25="440/560",'Val-Dép'!I25&lt;&gt;"note de crédit"),VLOOKUP('Val-Dép'!AE25,'Val-Dép'!AE25:AF25,2,FALSE ),"0")</f>
        <v>0</v>
      </c>
      <c r="I104" s="2475" t="str">
        <f>IF(AND( 'Val-Dép'!H47="Bq post fournis-1an", 'Val-Dép'!I47&lt;&gt;"note de crédit"),VLOOKUP('Val-Dép'!AH47,'Val-Dép'!AH47:AM47,6,FALSE ),"0")</f>
        <v>0</v>
      </c>
      <c r="J104" s="1225"/>
      <c r="K104" s="3629"/>
      <c r="M104" s="2475" t="str">
        <f>IF(AND( 'Val-Dép'!AE25="440/570", 'Val-Dép'!AE25="290/570", 'Val-Dép'!I25&lt;&gt;"note de crédit"),VLOOKUP('Val-Dép'!AE25,'Val-Dép'!AE25:AF25,2,FALSE ),"0")</f>
        <v>0</v>
      </c>
      <c r="N104" s="3577" t="str">
        <f>IF(AND( 'Val-Dép'!H47="Caisse fournis-1an", 'Val-Dép'!I47&lt;&gt;"note de crédit"),VLOOKUP('Val-Dép'!AH47,'Val-Dép'!AH47:AM47,6,FALSE ),"0")</f>
        <v>0</v>
      </c>
      <c r="O104" s="1348"/>
      <c r="P104" s="1348"/>
      <c r="S104" s="1464"/>
      <c r="T104" s="4100"/>
      <c r="U104" s="3590">
        <f>IF( 'Val-Dép'!H59="173",VLOOKUP('Val-Dép'!H59,'Val-Dép'!H59:I59,2,FALSE),"0")</f>
        <v>0</v>
      </c>
      <c r="V104" s="3589"/>
      <c r="W104" s="3750"/>
      <c r="X104" s="1081"/>
      <c r="Y104" s="3584"/>
      <c r="Z104" s="3590" t="str">
        <f>IF( 'Val-Dép'!M59="173",VLOOKUP('Val-Dép'!M59,'Val-Dép'!M59:N59,2,FALSE),"0")</f>
        <v>0</v>
      </c>
      <c r="AA104" s="3589"/>
      <c r="AB104" s="3750"/>
      <c r="AC104" s="1081"/>
      <c r="AD104" s="3584"/>
      <c r="AE104" s="3590" t="str">
        <f>IF( 'Val-Dép'!R59="173",VLOOKUP('Val-Dép'!R59,'Val-Dép'!R59:S59,2,FALSE),"0")</f>
        <v>0</v>
      </c>
      <c r="AF104" s="3589"/>
      <c r="AG104" s="3750"/>
      <c r="AH104" s="3648"/>
    </row>
    <row r="105" spans="2:35" ht="10.95" customHeight="1" thickBot="1" x14ac:dyDescent="0.3">
      <c r="B105" s="3472"/>
      <c r="C105" s="2477" t="str">
        <f>IF(AND( 'Val-Dép'!AE26="400/550", 'Val-Dép'!I26&lt;&gt;"note de crédit"),VLOOKUP('Val-Dép'!AE26,'Val-Dép'!AE26:AF26,2,FALSE ),"0")</f>
        <v>0</v>
      </c>
      <c r="D105" s="3613" t="str">
        <f>IF(AND( 'Val-Dép'!H48="Bq fournis-1an", 'Val-Dép'!I48&lt;&gt;"note de crédit"),VLOOKUP('Val-Dép'!AH48,'Val-Dép'!AH48:AM48,6,FALSE ),"0")</f>
        <v>0</v>
      </c>
      <c r="E105" s="3614"/>
      <c r="F105" s="3633"/>
      <c r="G105" s="3614"/>
      <c r="H105" s="3615" t="str">
        <f>IF(AND( 'Val-Dép'!AE26="440/560",'Val-Dép'!I26&lt;&gt;"note de crédit"),VLOOKUP('Val-Dép'!AE26,'Val-Dép'!AE26:AF26,2,FALSE ),"0")</f>
        <v>0</v>
      </c>
      <c r="I105" s="3616" t="str">
        <f>IF(AND( 'Val-Dép'!H48="Bq post fournis-1an", 'Val-Dép'!I48&lt;&gt;"note de crédit"),VLOOKUP('Val-Dép'!AH48,'Val-Dép'!AH48:AM48,6,FALSE ),"0")</f>
        <v>0</v>
      </c>
      <c r="J105" s="3617"/>
      <c r="K105" s="3640"/>
      <c r="L105" s="3614"/>
      <c r="M105" s="3616" t="str">
        <f>IF(AND( 'Val-Dép'!AE26="440/570", 'Val-Dép'!AE26="290/570", 'Val-Dép'!I26&lt;&gt;"note de crédit"),VLOOKUP('Val-Dép'!AE26,'Val-Dép'!AE26:AF26,2,FALSE ),"0")</f>
        <v>0</v>
      </c>
      <c r="N105" s="3618" t="str">
        <f>IF(AND( 'Val-Dép'!H48="Caisse fournis-1an", 'Val-Dép'!I48&lt;&gt;"note de crédit"),VLOOKUP('Val-Dép'!AH48,'Val-Dép'!AH48:AM48,6,FALSE ),"0")</f>
        <v>0</v>
      </c>
      <c r="O105" s="1348"/>
      <c r="P105" s="1348"/>
      <c r="S105" s="1464"/>
      <c r="T105" s="4100"/>
      <c r="U105" s="3590">
        <f>IF( 'Val-Dép'!H60="173",VLOOKUP('Val-Dép'!H60,'Val-Dép'!H60:I60,2,FALSE),"0")</f>
        <v>0</v>
      </c>
      <c r="V105" s="3589"/>
      <c r="W105" s="3751"/>
      <c r="X105" s="1081"/>
      <c r="Y105" s="3585"/>
      <c r="Z105" s="3590" t="str">
        <f>IF( 'Val-Dép'!M60="173",VLOOKUP('Val-Dép'!M60,'Val-Dép'!M60:N60,2,FALSE),"0")</f>
        <v>0</v>
      </c>
      <c r="AA105" s="3589"/>
      <c r="AB105" s="3751"/>
      <c r="AC105" s="1081"/>
      <c r="AD105" s="3585"/>
      <c r="AE105" s="3590" t="str">
        <f>IF( 'Val-Dép'!R60="173",VLOOKUP('Val-Dép'!R60,'Val-Dép'!R60:S60,2,FALSE),"0")</f>
        <v>0</v>
      </c>
      <c r="AF105" s="3589"/>
      <c r="AG105" s="3751"/>
      <c r="AH105" s="1573"/>
    </row>
    <row r="106" spans="2:35" ht="10.95" customHeight="1" x14ac:dyDescent="0.25">
      <c r="B106" s="1328"/>
      <c r="C106" s="3612" t="str">
        <f>IF( 'Val-Dép'!H55="550",VLOOKUP('Val-Dép'!H55,'Val-Dép'!H55:I55,2,FALSE),"0")</f>
        <v>0</v>
      </c>
      <c r="D106" s="3612" t="str">
        <f>IF( 'Val-Dép'!E55="550",VLOOKUP('Val-Dép'!E55,'Val-Dép'!E55:F55,2,FALSE),"0")</f>
        <v>0</v>
      </c>
      <c r="E106" s="3698">
        <v>3</v>
      </c>
      <c r="F106" s="3631"/>
      <c r="G106" s="1380"/>
      <c r="H106" s="3612" t="str">
        <f>IF( 'Val-Dép'!H55="560",VLOOKUP('Val-Dép'!H55,'Val-Dép'!H55:I55,2,FALSE),"0")</f>
        <v>0</v>
      </c>
      <c r="I106" s="1329" t="str">
        <f>IF( 'Val-Dép'!E55="560",VLOOKUP('Val-Dép'!E55,'Val-Dép'!E55:F55,2,FALSE),"0")</f>
        <v>0</v>
      </c>
      <c r="J106" s="1347"/>
      <c r="K106" s="3635"/>
      <c r="L106" s="1380"/>
      <c r="M106" s="3612">
        <f>IF( 'Val-Dép'!H55="570",VLOOKUP('Val-Dép'!H55,'Val-Dép'!H55:I55,2,FALSE),"0")</f>
        <v>100</v>
      </c>
      <c r="N106" s="3612" t="str">
        <f>IF( 'Val-Dép'!E55="570",VLOOKUP('Val-Dép'!E55,'Val-Dép'!E55:F55,2,FALSE),"0")</f>
        <v>0</v>
      </c>
      <c r="O106" s="1333"/>
      <c r="P106" s="1348"/>
      <c r="S106" s="1464"/>
      <c r="T106" s="4100"/>
      <c r="U106" s="3584" t="s">
        <v>1996</v>
      </c>
      <c r="V106" s="3750" t="s">
        <v>1997</v>
      </c>
      <c r="W106" s="3751"/>
      <c r="X106" s="1081"/>
      <c r="Y106" s="3584"/>
      <c r="Z106" s="3584" t="s">
        <v>1996</v>
      </c>
      <c r="AA106" s="3750" t="s">
        <v>1997</v>
      </c>
      <c r="AB106" s="3751"/>
      <c r="AC106" s="1081"/>
      <c r="AD106" s="3584"/>
      <c r="AE106" s="3584" t="s">
        <v>1996</v>
      </c>
      <c r="AF106" s="3750" t="s">
        <v>1997</v>
      </c>
      <c r="AG106" s="3751"/>
      <c r="AH106" s="1573"/>
    </row>
    <row r="107" spans="2:35" ht="10.95" customHeight="1" x14ac:dyDescent="0.25">
      <c r="B107" s="1342"/>
      <c r="C107" s="3612" t="str">
        <f>IF( 'Val-Dép'!H56="550",VLOOKUP('Val-Dép'!H56,'Val-Dép'!H56:I56,2,FALSE),"0")</f>
        <v>0</v>
      </c>
      <c r="D107" s="1329" t="str">
        <f>IF( 'Val-Dép'!E56="550",VLOOKUP('Val-Dép'!E56,'Val-Dép'!E56:F56,2,FALSE),"0")</f>
        <v>0</v>
      </c>
      <c r="E107" s="3699" t="s">
        <v>2489</v>
      </c>
      <c r="F107" s="3631"/>
      <c r="G107" s="1345"/>
      <c r="H107" s="1329" t="str">
        <f>IF( 'Val-Dép'!H56="560",VLOOKUP('Val-Dép'!H56,'Val-Dép'!H56:I56,2,FALSE),"0")</f>
        <v>0</v>
      </c>
      <c r="I107" s="1329" t="str">
        <f>IF( 'Val-Dép'!E56="560",VLOOKUP('Val-Dép'!E56,'Val-Dép'!E56:F56,2,FALSE),"0")</f>
        <v>0</v>
      </c>
      <c r="J107" s="1347"/>
      <c r="K107" s="3641"/>
      <c r="L107" s="1345"/>
      <c r="M107" s="3612" t="str">
        <f>IF( 'Val-Dép'!H56="570",VLOOKUP('Val-Dép'!H56,'Val-Dép'!H56:I56,2,FALSE),"0")</f>
        <v>0</v>
      </c>
      <c r="N107" s="3612" t="str">
        <f>IF( 'Val-Dép'!E56="570",VLOOKUP('Val-Dép'!E56,'Val-Dép'!E56:F56,2,FALSE),"0")</f>
        <v>0</v>
      </c>
      <c r="O107" s="1347"/>
      <c r="P107" s="2258"/>
      <c r="S107" s="1464"/>
      <c r="T107" s="61" t="s">
        <v>195</v>
      </c>
      <c r="U107" s="3752">
        <f>SUM(U90:U105)</f>
        <v>0</v>
      </c>
      <c r="V107" s="3752">
        <f>SUM(V89:V105)</f>
        <v>0</v>
      </c>
      <c r="W107" s="3753" t="s">
        <v>193</v>
      </c>
      <c r="X107" s="1081"/>
      <c r="Y107" s="61" t="s">
        <v>195</v>
      </c>
      <c r="Z107" s="3752">
        <f>SUM(Z90:Z105)</f>
        <v>0</v>
      </c>
      <c r="AA107" s="3752">
        <f>SUM(AA89:AA105)</f>
        <v>0</v>
      </c>
      <c r="AB107" s="3753" t="s">
        <v>193</v>
      </c>
      <c r="AC107" s="1081"/>
      <c r="AD107" s="1852" t="s">
        <v>195</v>
      </c>
      <c r="AE107" s="3752">
        <f>SUM(AE90:AE105)</f>
        <v>0</v>
      </c>
      <c r="AF107" s="3752">
        <f>SUM(AF89:AF105)</f>
        <v>0</v>
      </c>
      <c r="AG107" s="3753" t="s">
        <v>193</v>
      </c>
      <c r="AH107" s="1573"/>
    </row>
    <row r="108" spans="2:35" ht="10.95" customHeight="1" thickBot="1" x14ac:dyDescent="0.3">
      <c r="B108" s="1342"/>
      <c r="C108" s="3612" t="str">
        <f>IF( 'Val-Dép'!H57="550",VLOOKUP('Val-Dép'!H57,'Val-Dép'!H57:I57,2,FALSE),"0")</f>
        <v>0</v>
      </c>
      <c r="D108" s="1329" t="str">
        <f>IF( 'Val-Dép'!E57="550",VLOOKUP('Val-Dép'!E57,'Val-Dép'!E57:F57,2,FALSE),"0")</f>
        <v>0</v>
      </c>
      <c r="E108" s="1353"/>
      <c r="F108" s="3631"/>
      <c r="G108" s="1354"/>
      <c r="H108" s="1329" t="str">
        <f>IF( 'Val-Dép'!H57="560",VLOOKUP('Val-Dép'!H57,'Val-Dép'!H57:I57,2,FALSE),"0")</f>
        <v>0</v>
      </c>
      <c r="I108" s="1329" t="str">
        <f>IF( 'Val-Dép'!E57="560",VLOOKUP('Val-Dép'!E57,'Val-Dép'!E57:F57,2,FALSE),"0")</f>
        <v>0</v>
      </c>
      <c r="J108" s="1347"/>
      <c r="K108" s="3641"/>
      <c r="L108" s="1354"/>
      <c r="M108" s="3612">
        <f>IF( 'Val-Dép'!H57="570",VLOOKUP('Val-Dép'!H57,'Val-Dép'!H57:I57,2,FALSE),"0")</f>
        <v>0</v>
      </c>
      <c r="N108" s="3612" t="str">
        <f>IF( 'Val-Dép'!E57="570",VLOOKUP('Val-Dép'!E57,'Val-Dép'!E57:F57,2,FALSE),"0")</f>
        <v>0</v>
      </c>
      <c r="O108" s="1347"/>
      <c r="P108" s="2258"/>
      <c r="S108" s="1464"/>
      <c r="T108" s="3744"/>
      <c r="U108" s="2791">
        <f>IF(U107&gt;V107,U107-V107,0)</f>
        <v>0</v>
      </c>
      <c r="V108" s="3608">
        <f>IF(U107&lt;V107,V107-U107,0)</f>
        <v>0</v>
      </c>
      <c r="W108" s="2508" t="s">
        <v>189</v>
      </c>
      <c r="X108" s="1081"/>
      <c r="Y108" s="3744"/>
      <c r="Z108" s="2791">
        <f>IF(Z107&gt;AA107,Z107-AA107,0)</f>
        <v>0</v>
      </c>
      <c r="AA108" s="3608">
        <f>IF(Z107&lt;AA107,AA107-Z107,0)</f>
        <v>0</v>
      </c>
      <c r="AB108" s="2508" t="s">
        <v>189</v>
      </c>
      <c r="AC108" s="1081"/>
      <c r="AD108" s="3744"/>
      <c r="AE108" s="2791">
        <f>IF(AE107&gt;AF107,AE107-AF107,0)</f>
        <v>0</v>
      </c>
      <c r="AF108" s="3608">
        <f>IF(AE107&lt;AF107,AF107-AE107,0)</f>
        <v>0</v>
      </c>
      <c r="AG108" s="2508" t="s">
        <v>189</v>
      </c>
      <c r="AH108" s="1573"/>
    </row>
    <row r="109" spans="2:35" ht="10.95" customHeight="1" thickBot="1" x14ac:dyDescent="0.3">
      <c r="B109" s="1342"/>
      <c r="C109" s="3612" t="str">
        <f>IF( 'Val-Dép'!H58="550",VLOOKUP('Val-Dép'!H58,'Val-Dép'!H58:I58,2,FALSE),"0")</f>
        <v>0</v>
      </c>
      <c r="D109" s="1329" t="str">
        <f>IF( 'Val-Dép'!E58="550",VLOOKUP('Val-Dép'!E58,'Val-Dép'!E58:F58,2,FALSE),"0")</f>
        <v>0</v>
      </c>
      <c r="E109" s="1353"/>
      <c r="F109" s="3631"/>
      <c r="G109" s="1354"/>
      <c r="H109" s="1329" t="str">
        <f>IF( 'Val-Dép'!H58="560",VLOOKUP('Val-Dép'!H58,'Val-Dép'!H58:I58,2,FALSE),"0")</f>
        <v>0</v>
      </c>
      <c r="I109" s="1329" t="str">
        <f>IF( 'Val-Dép'!E58="560",VLOOKUP('Val-Dép'!E58,'Val-Dép'!E58:F58,2,FALSE),"0")</f>
        <v>0</v>
      </c>
      <c r="J109" s="1347"/>
      <c r="K109" s="3635"/>
      <c r="L109" s="1354"/>
      <c r="M109" s="3612">
        <f>IF( 'Val-Dép'!H58="570",VLOOKUP('Val-Dép'!H58,'Val-Dép'!H58:I58,2,FALSE),"0")</f>
        <v>0</v>
      </c>
      <c r="N109" s="3612" t="str">
        <f>IF( 'Val-Dép'!E58="570",VLOOKUP('Val-Dép'!E58,'Val-Dép'!E58:F58,2,FALSE),"0")</f>
        <v>0</v>
      </c>
      <c r="O109" s="1347"/>
      <c r="P109" s="2258"/>
      <c r="S109" s="1471"/>
      <c r="T109" s="1582"/>
      <c r="U109" s="1585"/>
      <c r="V109" s="1582"/>
      <c r="W109" s="1582"/>
      <c r="X109" s="1582"/>
      <c r="Y109" s="1582"/>
      <c r="Z109" s="1582"/>
      <c r="AA109" s="1582"/>
      <c r="AB109" s="1582"/>
      <c r="AC109" s="1582"/>
      <c r="AD109" s="1582"/>
      <c r="AE109" s="1582"/>
      <c r="AF109" s="1582"/>
      <c r="AG109" s="1582"/>
      <c r="AH109" s="3657"/>
    </row>
    <row r="110" spans="2:35" ht="10.95" customHeight="1" thickTop="1" x14ac:dyDescent="0.25">
      <c r="B110" s="1342"/>
      <c r="C110" s="3612" t="str">
        <f>IF( 'Val-Dép'!H59="550",VLOOKUP('Val-Dép'!H59,'Val-Dép'!H59:I59,2,FALSE),"0")</f>
        <v>0</v>
      </c>
      <c r="D110" s="1329" t="str">
        <f>IF( 'Val-Dép'!E59="550",VLOOKUP('Val-Dép'!E59,'Val-Dép'!E59:F59,2,FALSE),"0")</f>
        <v>0</v>
      </c>
      <c r="E110" s="1353"/>
      <c r="F110" s="3631"/>
      <c r="G110" s="1354"/>
      <c r="H110" s="1329" t="str">
        <f>IF( 'Val-Dép'!H59="560",VLOOKUP('Val-Dép'!H59,'Val-Dép'!H59:I59,2,FALSE),"0")</f>
        <v>0</v>
      </c>
      <c r="I110" s="1329" t="str">
        <f>IF( 'Val-Dép'!E59="560",VLOOKUP('Val-Dép'!E59,'Val-Dép'!E59:F59,2,FALSE),"0")</f>
        <v>0</v>
      </c>
      <c r="J110" s="1347"/>
      <c r="K110" s="3629"/>
      <c r="L110" s="1354"/>
      <c r="M110" s="3612" t="str">
        <f>IF( 'Val-Dép'!H59="570",VLOOKUP('Val-Dép'!H59,'Val-Dép'!H59:I59,2,FALSE),"0")</f>
        <v>0</v>
      </c>
      <c r="N110" s="3612" t="str">
        <f>IF( 'Val-Dép'!E59="570",VLOOKUP('Val-Dép'!E59,'Val-Dép'!E59:F59,2,FALSE),"0")</f>
        <v>0</v>
      </c>
      <c r="O110" s="1347"/>
      <c r="P110" s="2258"/>
      <c r="AI110" s="3494"/>
    </row>
    <row r="111" spans="2:35" ht="10.95" customHeight="1" thickBot="1" x14ac:dyDescent="0.3">
      <c r="B111" s="1376" t="s">
        <v>1677</v>
      </c>
      <c r="C111" s="1377" t="s">
        <v>1661</v>
      </c>
      <c r="D111" s="1378" t="s">
        <v>1660</v>
      </c>
      <c r="E111" s="1379" t="s">
        <v>1678</v>
      </c>
      <c r="F111" s="3631"/>
      <c r="G111" s="1380" t="s">
        <v>1677</v>
      </c>
      <c r="H111" s="1377" t="s">
        <v>1667</v>
      </c>
      <c r="I111" s="1378" t="s">
        <v>1665</v>
      </c>
      <c r="J111" s="1347" t="s">
        <v>1678</v>
      </c>
      <c r="K111" s="3629"/>
      <c r="L111" s="1380" t="s">
        <v>1677</v>
      </c>
      <c r="M111" s="3532" t="s">
        <v>1668</v>
      </c>
      <c r="N111" s="3533" t="s">
        <v>1666</v>
      </c>
      <c r="O111" s="1347" t="s">
        <v>1678</v>
      </c>
      <c r="P111" s="2258"/>
      <c r="R111" s="1381"/>
    </row>
    <row r="112" spans="2:35" ht="10.95" customHeight="1" x14ac:dyDescent="0.25">
      <c r="B112" s="1081" t="s">
        <v>186</v>
      </c>
      <c r="C112" s="2623">
        <f>SUM(C91:C110)</f>
        <v>25000</v>
      </c>
      <c r="D112" s="2624">
        <f>SUM(D92:D110)</f>
        <v>0</v>
      </c>
      <c r="E112" s="1192"/>
      <c r="F112" s="3634"/>
      <c r="G112" s="1192"/>
      <c r="H112" s="2626">
        <f>SUM(H91:H110)</f>
        <v>4800</v>
      </c>
      <c r="I112" s="2626">
        <f>SUM(I91:I110)</f>
        <v>0</v>
      </c>
      <c r="K112" s="3629"/>
      <c r="L112" s="1250"/>
      <c r="M112" s="2627">
        <f>D24+SUM(M91:M110)</f>
        <v>900</v>
      </c>
      <c r="N112" s="2628">
        <f>SUM(N92:N110)</f>
        <v>0</v>
      </c>
      <c r="O112" s="2451"/>
      <c r="P112" s="2258"/>
      <c r="Q112" s="1381"/>
      <c r="R112" s="2453"/>
    </row>
    <row r="113" spans="1:38" ht="10.95" customHeight="1" thickBot="1" x14ac:dyDescent="0.3">
      <c r="B113" s="1852" t="s">
        <v>136</v>
      </c>
      <c r="C113" s="3642">
        <f>IF(C112&gt;D112, C112-D112,0)</f>
        <v>25000</v>
      </c>
      <c r="D113" s="2625">
        <f>IF(C112&lt;C113, C113-C112,0)</f>
        <v>0</v>
      </c>
      <c r="E113" s="1192"/>
      <c r="F113" s="3634"/>
      <c r="G113" s="3535" t="s">
        <v>136</v>
      </c>
      <c r="H113" s="3642">
        <f>IF(H112&gt;I112, H112-I112,0)</f>
        <v>4800</v>
      </c>
      <c r="I113" s="2625">
        <f>IF(H112&lt;H113, H113-H112,0)</f>
        <v>0</v>
      </c>
      <c r="K113" s="3629"/>
      <c r="L113" s="3534" t="s">
        <v>136</v>
      </c>
      <c r="M113" s="3642">
        <f>IF(M112&gt;N112, M112-N112,0)</f>
        <v>900</v>
      </c>
      <c r="N113" s="2625">
        <f>IF(M112&lt;M113, M113-M112,0)</f>
        <v>0</v>
      </c>
      <c r="O113" s="2452"/>
      <c r="P113" s="2453"/>
      <c r="Q113" s="2453"/>
      <c r="R113" s="2454"/>
    </row>
    <row r="114" spans="1:38" ht="10.95" customHeight="1" x14ac:dyDescent="0.25">
      <c r="B114" s="2795"/>
      <c r="C114" s="4070" t="s">
        <v>2339</v>
      </c>
      <c r="D114" s="4070"/>
      <c r="E114" s="1192"/>
      <c r="F114" s="3634"/>
      <c r="G114" s="3536"/>
      <c r="H114" s="4070" t="s">
        <v>2339</v>
      </c>
      <c r="I114" s="4070"/>
      <c r="K114" s="3629"/>
      <c r="L114" s="3537"/>
      <c r="M114" s="4070" t="s">
        <v>2339</v>
      </c>
      <c r="N114" s="4070"/>
      <c r="O114" s="2454"/>
      <c r="P114" s="2454"/>
      <c r="Q114" s="2454"/>
      <c r="R114" s="2454"/>
    </row>
    <row r="115" spans="1:38" ht="10.95" customHeight="1" thickBot="1" x14ac:dyDescent="0.3">
      <c r="B115" s="1471"/>
      <c r="C115" s="4086" t="s">
        <v>2340</v>
      </c>
      <c r="D115" s="4086"/>
      <c r="E115" s="3667"/>
      <c r="F115" s="3668"/>
      <c r="G115" s="3667"/>
      <c r="H115" s="4071" t="s">
        <v>2341</v>
      </c>
      <c r="I115" s="4071"/>
      <c r="J115" s="1582"/>
      <c r="K115" s="3669"/>
      <c r="L115" s="3670"/>
      <c r="M115" s="4072" t="s">
        <v>1647</v>
      </c>
      <c r="N115" s="4072"/>
      <c r="O115" s="3671"/>
      <c r="P115" s="2454"/>
      <c r="Q115" s="2454"/>
      <c r="R115" s="2454"/>
    </row>
    <row r="116" spans="1:38" ht="10.95" customHeight="1" thickTop="1" x14ac:dyDescent="0.25">
      <c r="B116" s="1081"/>
      <c r="C116" s="1256"/>
      <c r="D116" s="1350"/>
      <c r="E116" s="1192"/>
      <c r="F116" s="1192"/>
      <c r="G116" s="1192"/>
      <c r="H116" s="1255"/>
      <c r="I116" s="1255"/>
      <c r="O116" s="1348"/>
      <c r="P116" s="2454"/>
      <c r="Q116" s="2454"/>
      <c r="R116" s="1348"/>
      <c r="S116" s="3494"/>
      <c r="T116" s="3494"/>
      <c r="U116" s="3494"/>
      <c r="V116" s="3494"/>
      <c r="W116" s="3494"/>
      <c r="AH116" s="3494"/>
    </row>
    <row r="117" spans="1:38" ht="10.95" customHeight="1" x14ac:dyDescent="0.25">
      <c r="B117" s="1081"/>
      <c r="C117" s="1256"/>
      <c r="D117" s="1350"/>
      <c r="E117" s="1192"/>
      <c r="F117" s="1192"/>
      <c r="G117" s="1192"/>
      <c r="H117" s="1255"/>
      <c r="I117" s="1255"/>
      <c r="O117" s="1348"/>
      <c r="P117" s="2454"/>
      <c r="Q117" s="1348"/>
      <c r="R117" s="1258"/>
    </row>
    <row r="118" spans="1:38" ht="10.95" customHeight="1" x14ac:dyDescent="0.25">
      <c r="A118" s="1258"/>
      <c r="B118" s="1258"/>
      <c r="C118" s="1256"/>
      <c r="D118" s="2250"/>
      <c r="E118" s="2251"/>
      <c r="F118" s="2251"/>
      <c r="G118" s="2251"/>
      <c r="H118" s="1126"/>
      <c r="I118" s="1126"/>
      <c r="J118" s="1258"/>
      <c r="K118" s="1258"/>
      <c r="L118" s="1258"/>
      <c r="M118" s="1258"/>
      <c r="N118" s="1258"/>
      <c r="O118" s="1258"/>
      <c r="P118" s="1348"/>
      <c r="Q118" s="1258"/>
      <c r="R118" s="1389"/>
    </row>
    <row r="119" spans="1:38" ht="10.95" customHeight="1" x14ac:dyDescent="0.25">
      <c r="B119" s="4088" t="s">
        <v>2227</v>
      </c>
      <c r="C119" s="4088"/>
      <c r="D119" s="4088"/>
      <c r="E119" s="4088"/>
      <c r="F119" s="2489"/>
      <c r="G119" s="4088" t="s">
        <v>2228</v>
      </c>
      <c r="H119" s="4088"/>
      <c r="I119" s="4088"/>
      <c r="J119" s="4088"/>
      <c r="K119" s="2487"/>
      <c r="L119" s="2489"/>
      <c r="M119" s="4088" t="s">
        <v>2229</v>
      </c>
      <c r="N119" s="4088"/>
      <c r="O119" s="2487"/>
      <c r="P119" s="1258"/>
      <c r="Q119" s="1389"/>
      <c r="R119" s="1319"/>
      <c r="T119" s="2494"/>
      <c r="U119" s="2551"/>
      <c r="V119" s="2551"/>
      <c r="W119" s="2487"/>
      <c r="AH119" s="1171"/>
      <c r="AI119" s="1359"/>
    </row>
    <row r="120" spans="1:38" ht="10.95" customHeight="1" thickBot="1" x14ac:dyDescent="0.3">
      <c r="B120" s="4076" t="s">
        <v>2018</v>
      </c>
      <c r="C120" s="4076"/>
      <c r="D120" s="4076" t="s">
        <v>2017</v>
      </c>
      <c r="E120" s="4076"/>
      <c r="F120" s="2489"/>
      <c r="G120" s="4076" t="s">
        <v>2018</v>
      </c>
      <c r="H120" s="4076"/>
      <c r="I120" s="4076" t="s">
        <v>2017</v>
      </c>
      <c r="J120" s="4076"/>
      <c r="K120" s="2487"/>
      <c r="L120" s="4076" t="s">
        <v>2018</v>
      </c>
      <c r="M120" s="4076"/>
      <c r="N120" s="4076" t="s">
        <v>2017</v>
      </c>
      <c r="O120" s="4076"/>
      <c r="P120" s="1081"/>
      <c r="Q120" s="1319"/>
      <c r="R120" s="1319"/>
      <c r="T120" s="2494"/>
      <c r="U120" s="2551"/>
      <c r="V120" s="2551"/>
      <c r="W120" s="2487"/>
      <c r="AH120" s="1171"/>
    </row>
    <row r="121" spans="1:38" ht="10.95" customHeight="1" thickTop="1" thickBot="1" x14ac:dyDescent="0.3">
      <c r="B121" s="2487"/>
      <c r="C121" s="4107" t="s">
        <v>3</v>
      </c>
      <c r="D121" s="4107"/>
      <c r="E121" s="2487"/>
      <c r="F121" s="2489"/>
      <c r="G121" s="4069" t="s">
        <v>3</v>
      </c>
      <c r="H121" s="4069"/>
      <c r="I121" s="4069"/>
      <c r="J121" s="4069"/>
      <c r="K121" s="2487"/>
      <c r="L121" s="4106"/>
      <c r="M121" s="4106"/>
      <c r="N121" s="4106"/>
      <c r="O121" s="4106"/>
      <c r="P121" s="2469"/>
      <c r="Q121" s="1319"/>
      <c r="R121" s="1319"/>
      <c r="S121" s="3643"/>
      <c r="T121" s="3644"/>
      <c r="U121" s="3645"/>
      <c r="V121" s="3645"/>
      <c r="W121" s="3644"/>
      <c r="X121" s="3646"/>
      <c r="Y121" s="3646"/>
      <c r="Z121" s="3646"/>
      <c r="AA121" s="3646"/>
      <c r="AB121" s="3646"/>
      <c r="AC121" s="3646"/>
      <c r="AD121" s="3646"/>
      <c r="AE121" s="3646"/>
      <c r="AF121" s="3646"/>
      <c r="AG121" s="3646"/>
      <c r="AH121" s="1511"/>
    </row>
    <row r="122" spans="1:38" ht="10.95" customHeight="1" thickTop="1" thickBot="1" x14ac:dyDescent="0.3">
      <c r="B122" s="4045" t="s">
        <v>210</v>
      </c>
      <c r="C122" s="4046"/>
      <c r="D122" s="4047" t="s">
        <v>209</v>
      </c>
      <c r="E122" s="4048"/>
      <c r="F122" s="2489"/>
      <c r="G122" s="2494"/>
      <c r="H122" s="2514"/>
      <c r="I122" s="2487"/>
      <c r="J122" s="2494"/>
      <c r="K122" s="2487"/>
      <c r="L122" s="2487"/>
      <c r="M122" s="2547"/>
      <c r="N122" s="2559"/>
      <c r="O122" s="2560"/>
      <c r="P122" s="2473"/>
      <c r="Q122" s="1319"/>
      <c r="R122" s="1319"/>
      <c r="S122" s="3647"/>
      <c r="T122" s="1081"/>
      <c r="U122" s="4110" t="s">
        <v>2491</v>
      </c>
      <c r="V122" s="4110"/>
      <c r="W122" s="4110"/>
      <c r="X122" s="4110"/>
      <c r="Y122" s="4110"/>
      <c r="Z122" s="4110"/>
      <c r="AA122" s="4110"/>
      <c r="AB122" s="4110"/>
      <c r="AC122" s="4110"/>
      <c r="AD122" s="4110"/>
      <c r="AE122" s="4110"/>
      <c r="AF122" s="4110"/>
      <c r="AG122" s="1081"/>
      <c r="AH122" s="1573"/>
    </row>
    <row r="123" spans="1:38" ht="10.95" customHeight="1" thickTop="1" thickBot="1" x14ac:dyDescent="0.35">
      <c r="B123" s="4049" t="s">
        <v>1625</v>
      </c>
      <c r="C123" s="4050"/>
      <c r="D123" s="4043" t="s">
        <v>1624</v>
      </c>
      <c r="E123" s="4044"/>
      <c r="F123" s="2494"/>
      <c r="G123" s="4049" t="s">
        <v>1625</v>
      </c>
      <c r="H123" s="4050"/>
      <c r="I123" s="4043" t="s">
        <v>1624</v>
      </c>
      <c r="J123" s="4044"/>
      <c r="K123" s="2487"/>
      <c r="L123" s="2487"/>
      <c r="M123" s="4089" t="s">
        <v>1653</v>
      </c>
      <c r="N123" s="4089"/>
      <c r="O123" s="2550"/>
      <c r="P123" s="2484"/>
      <c r="Q123" s="1319"/>
      <c r="R123" s="1319"/>
      <c r="S123" s="3647"/>
      <c r="T123" s="1081"/>
      <c r="U123" s="1393"/>
      <c r="V123" s="1081"/>
      <c r="W123" s="1081"/>
      <c r="X123" s="1081"/>
      <c r="Y123" s="1081"/>
      <c r="Z123" s="1081"/>
      <c r="AA123" s="1081"/>
      <c r="AB123" s="1081"/>
      <c r="AC123" s="1081"/>
      <c r="AD123" s="1081"/>
      <c r="AE123" s="1081"/>
      <c r="AF123" s="1081"/>
      <c r="AG123" s="1081"/>
      <c r="AH123" s="1573"/>
      <c r="AI123" s="1258"/>
    </row>
    <row r="124" spans="1:38" ht="10.95" customHeight="1" x14ac:dyDescent="0.25">
      <c r="B124" s="4101" t="s">
        <v>2346</v>
      </c>
      <c r="C124" s="4101"/>
      <c r="D124" s="1099" t="s">
        <v>2484</v>
      </c>
      <c r="E124" s="2557"/>
      <c r="F124" s="2494"/>
      <c r="G124" s="4054" t="s">
        <v>2347</v>
      </c>
      <c r="H124" s="4054"/>
      <c r="I124" s="2515" t="s">
        <v>2485</v>
      </c>
      <c r="J124" s="2494"/>
      <c r="K124" s="2487"/>
      <c r="L124" s="2487"/>
      <c r="M124" s="2561" t="s">
        <v>213</v>
      </c>
      <c r="N124" s="2519" t="s">
        <v>1623</v>
      </c>
      <c r="O124" s="2519"/>
      <c r="P124" s="1081"/>
      <c r="Q124" s="1319"/>
      <c r="R124" s="1258"/>
      <c r="S124" s="3647"/>
      <c r="T124" s="1081"/>
      <c r="U124" s="1162" t="s">
        <v>1661</v>
      </c>
      <c r="V124" s="1257" t="s">
        <v>1660</v>
      </c>
      <c r="W124" s="1081"/>
      <c r="X124" s="1162"/>
      <c r="Y124" s="1081"/>
      <c r="Z124" s="1258" t="s">
        <v>1667</v>
      </c>
      <c r="AA124" s="2719" t="s">
        <v>1665</v>
      </c>
      <c r="AB124" s="1081"/>
      <c r="AC124" s="1081"/>
      <c r="AD124" s="1081"/>
      <c r="AE124" s="1081" t="s">
        <v>1668</v>
      </c>
      <c r="AF124" s="1081" t="s">
        <v>1666</v>
      </c>
      <c r="AG124" s="1081"/>
      <c r="AH124" s="3648"/>
      <c r="AI124" s="1258"/>
    </row>
    <row r="125" spans="1:38" ht="10.95" customHeight="1" thickBot="1" x14ac:dyDescent="0.3">
      <c r="B125" s="2508" t="s">
        <v>186</v>
      </c>
      <c r="C125" s="2558" t="s">
        <v>2304</v>
      </c>
      <c r="D125" s="2520" t="s">
        <v>169</v>
      </c>
      <c r="E125" s="2509" t="s">
        <v>185</v>
      </c>
      <c r="F125" s="2494"/>
      <c r="G125" s="2508" t="s">
        <v>186</v>
      </c>
      <c r="H125" s="2516" t="s">
        <v>2305</v>
      </c>
      <c r="I125" s="2520" t="s">
        <v>1627</v>
      </c>
      <c r="J125" s="2509" t="s">
        <v>185</v>
      </c>
      <c r="K125" s="2487"/>
      <c r="L125" s="2508" t="s">
        <v>186</v>
      </c>
      <c r="M125" s="2507" t="s">
        <v>2306</v>
      </c>
      <c r="N125" s="2520" t="s">
        <v>171</v>
      </c>
      <c r="O125" s="2521" t="s">
        <v>185</v>
      </c>
      <c r="P125" s="2470"/>
      <c r="Q125" s="1258"/>
      <c r="R125" s="1258"/>
      <c r="S125" s="3647"/>
      <c r="T125" s="1081"/>
      <c r="U125" s="4073" t="s">
        <v>1664</v>
      </c>
      <c r="V125" s="4074"/>
      <c r="W125" s="1081"/>
      <c r="X125" s="1081"/>
      <c r="Y125" s="1081"/>
      <c r="Z125" s="4073" t="s">
        <v>1662</v>
      </c>
      <c r="AA125" s="4074"/>
      <c r="AB125" s="1081"/>
      <c r="AC125" s="1081"/>
      <c r="AD125" s="1081"/>
      <c r="AE125" s="4073" t="s">
        <v>1663</v>
      </c>
      <c r="AF125" s="4073"/>
      <c r="AG125" s="4074"/>
      <c r="AH125" s="3648"/>
      <c r="AI125" s="1258"/>
    </row>
    <row r="126" spans="1:38" ht="10.95" customHeight="1" x14ac:dyDescent="0.3">
      <c r="B126" s="1296" t="s">
        <v>207</v>
      </c>
      <c r="C126" s="4539">
        <f>IF(ISNA(VLOOKUP($C$125,'VAL-INIT'!$D$4:$F$90,3,FALSE)),,VLOOKUP($C$125,'VAL-INIT'!$D$4:$F$90,3,FALSE))</f>
        <v>0</v>
      </c>
      <c r="D126" s="1298" t="s">
        <v>208</v>
      </c>
      <c r="E126" s="1299"/>
      <c r="G126" s="1185" t="s">
        <v>207</v>
      </c>
      <c r="H126" s="2176"/>
      <c r="I126" s="1220" t="s">
        <v>206</v>
      </c>
      <c r="J126" s="1221"/>
      <c r="K126" s="1081"/>
      <c r="L126" s="1185" t="s">
        <v>207</v>
      </c>
      <c r="M126" s="2176"/>
      <c r="N126" s="1220" t="s">
        <v>206</v>
      </c>
      <c r="O126" s="1300"/>
      <c r="P126" s="1516"/>
      <c r="Q126" s="2719"/>
      <c r="R126" s="1258"/>
      <c r="S126" s="3647"/>
      <c r="T126" s="1081" t="s">
        <v>186</v>
      </c>
      <c r="U126" s="332" t="s">
        <v>169</v>
      </c>
      <c r="V126" s="3495">
        <v>550</v>
      </c>
      <c r="W126" s="1081" t="s">
        <v>185</v>
      </c>
      <c r="X126" s="1162"/>
      <c r="Y126" s="1081" t="s">
        <v>186</v>
      </c>
      <c r="Z126" s="3847" t="s">
        <v>2286</v>
      </c>
      <c r="AA126" s="3495">
        <v>560</v>
      </c>
      <c r="AB126" s="1081" t="s">
        <v>185</v>
      </c>
      <c r="AC126" s="1081"/>
      <c r="AD126" s="1081" t="s">
        <v>186</v>
      </c>
      <c r="AE126" s="3573" t="s">
        <v>1647</v>
      </c>
      <c r="AF126" s="3495">
        <v>570</v>
      </c>
      <c r="AG126" s="1081"/>
      <c r="AH126" s="3648"/>
      <c r="AJ126" s="1258"/>
      <c r="AK126" s="1258"/>
      <c r="AL126" s="1258"/>
    </row>
    <row r="127" spans="1:38" ht="10.95" customHeight="1" x14ac:dyDescent="0.25">
      <c r="B127" s="1307">
        <v>35</v>
      </c>
      <c r="C127" s="4537">
        <f>IF(AND( 'Val-Dép'!AE14="290/550", 'Val-Dép'!I14&lt;&gt;"note de crédit"),VLOOKUP('Val-Dép'!AE14,'Val-Dép'!AE14:AF14,2,FALSE ),"0")</f>
        <v>0</v>
      </c>
      <c r="D127" s="1224" t="str">
        <f>IF(AND( 'Val-Dép'!H66="Banque", 'Val-Dép'!I66&lt;&gt;"note de crédit"),VLOOKUP('Val-Dép'!#REF!,'Val-Dép'!#REF!,6,FALSE ),"0")</f>
        <v>0</v>
      </c>
      <c r="E127" s="1308"/>
      <c r="G127" s="1168"/>
      <c r="H127" s="4545" t="str">
        <f>IF(AND( 'Val-Dép'!AE13="290/560", 'Val-Dép'!I13&lt;&gt;"note de crédit"),VLOOKUP('Val-Dép'!AE13,'Val-Dép'!AE13:AF13,2,FALSE ),"0")</f>
        <v>0</v>
      </c>
      <c r="I127" s="1223" t="str">
        <f>IF(AND( 'Val-Dép'!H66="Bq post", 'Val-Dép'!I66&lt;&gt;"note de crédit"),VLOOKUP('Val-Dép'!#REF!,'Val-Dép'!#REF!,6,FALSE ),"0")</f>
        <v>0</v>
      </c>
      <c r="J127" s="1225"/>
      <c r="K127" s="1081"/>
      <c r="M127" s="2475" t="str">
        <f>IF(AND( 'Val-Dép'!AE13="290/570", 'Val-Dép'!I13&lt;&gt;"note de crédit"),VLOOKUP('Val-Dép'!AE13,'Val-Dép'!AE13:AF13,2,FALSE ),"0")</f>
        <v>0</v>
      </c>
      <c r="N127" s="1223" t="str">
        <f>IF(AND( 'Val-Dép'!AE42=570, 'Val-Dép'!I42&lt;&gt;"note de crédit"),VLOOKUP('Val-Dép'!AE42,'Val-Dép'!AE42:AF42,2,FALSE ),"0")</f>
        <v>0</v>
      </c>
      <c r="O127" s="1310"/>
      <c r="P127" s="1171"/>
      <c r="Q127" s="4538"/>
      <c r="R127" s="1258"/>
      <c r="S127" s="3647"/>
      <c r="T127" s="2784" t="s">
        <v>1643</v>
      </c>
      <c r="U127" s="3849">
        <f>IF(ISNA(VLOOKUP($U$126,'VAL-INIT'!$D$4:$F$90,3,FALSE)),,VLOOKUP($U$126,'VAL-INIT'!$D$4:$F$90,3,FALSE))</f>
        <v>25000</v>
      </c>
      <c r="V127" s="3576" t="s">
        <v>2418</v>
      </c>
      <c r="W127" s="1081"/>
      <c r="X127" s="1162"/>
      <c r="Y127" s="2784" t="s">
        <v>1643</v>
      </c>
      <c r="Z127" s="3848">
        <f>IF(ISNA(VLOOKUP($Z$126,'VAL-INIT'!$D$4:$F$87,3,FALSE)),,VLOOKUP($Z$126,'VAL-INIT'!$D$4:$F$87,3,FALSE))</f>
        <v>4800</v>
      </c>
      <c r="AA127" s="2720" t="s">
        <v>2421</v>
      </c>
      <c r="AB127" s="1081"/>
      <c r="AC127" s="1081"/>
      <c r="AD127" s="1259"/>
      <c r="AE127" s="1398">
        <f>IF(ISNA(VLOOKUP($AE$126,'VAL-INIT'!$D$4:$F$90,3,FALSE)),,VLOOKUP($AE$126,'VAL-INIT'!$D$4:$F$90,3,FALSE))</f>
        <v>800</v>
      </c>
      <c r="AF127" s="3574" t="s">
        <v>1676</v>
      </c>
      <c r="AG127" s="1100"/>
      <c r="AH127" s="1573"/>
      <c r="AJ127" s="1258"/>
      <c r="AK127" s="1258"/>
      <c r="AL127" s="1258"/>
    </row>
    <row r="128" spans="1:38" ht="10.95" customHeight="1" x14ac:dyDescent="0.25">
      <c r="B128" s="1316">
        <v>36</v>
      </c>
      <c r="C128" s="4537" t="str">
        <f>IF(AND( 'Val-Dép'!AE15="290/550", 'Val-Dép'!I15&lt;&gt;"note de crédit"),VLOOKUP('Val-Dép'!AE15,'Val-Dép'!AE15:AF15,2,FALSE ),"0")</f>
        <v>0</v>
      </c>
      <c r="D128" s="1227" t="str">
        <f>IF(AND( 'Val-Dép'!H67="Banque", 'Val-Dép'!I67&lt;&gt;"note de crédit"),VLOOKUP('Val-Dép'!#REF!,'Val-Dép'!#REF!,6,FALSE ),"0")</f>
        <v>0</v>
      </c>
      <c r="E128" s="1317"/>
      <c r="G128" s="1081"/>
      <c r="H128" s="2478" t="str">
        <f>IF(AND( 'Val-Dép'!AE14="290/560", 'Val-Dép'!I14&lt;&gt;"note de crédit"),VLOOKUP('Val-Dép'!AE14,'Val-Dép'!AE14:AF14,2,FALSE ),"0")</f>
        <v>0</v>
      </c>
      <c r="I128" s="1223" t="str">
        <f>IF(AND( 'Val-Dép'!H67="Bq post", 'Val-Dép'!I67&lt;&gt;"note de crédit"),VLOOKUP('Val-Dép'!#REF!,'Val-Dép'!#REF!,6,FALSE ),"0")</f>
        <v>0</v>
      </c>
      <c r="J128" s="1225"/>
      <c r="K128" s="1081"/>
      <c r="M128" s="2475" t="str">
        <f>IF(AND( 'Val-Dép'!AE14="290/570", 'Val-Dép'!I14&lt;&gt;"note de crédit"),VLOOKUP('Val-Dép'!AE14,'Val-Dép'!AE14:AF14,2,FALSE ),"0")</f>
        <v>0</v>
      </c>
      <c r="N128" s="1223" t="str">
        <f>IF(AND( 'Val-Dép'!AE43=570, 'Val-Dép'!I43&lt;&gt;"note de crédit"),VLOOKUP('Val-Dép'!AE43,'Val-Dép'!AE43:AF43,2,FALSE ),"0")</f>
        <v>0</v>
      </c>
      <c r="O128" s="1310"/>
      <c r="P128" s="1431"/>
      <c r="Q128" s="1258"/>
      <c r="R128" s="1258"/>
      <c r="S128" s="3649"/>
      <c r="T128" s="1081"/>
      <c r="U128" s="3571" t="str">
        <f>IF( 'Val-Dép'!H55="550", VLOOKUP('Val-Dép'!H55,'Val-Dép'!H55:I57,2,FALSE),"0")</f>
        <v>0</v>
      </c>
      <c r="V128" s="3571" t="str">
        <f>IF(   'Val-Dép'!E55="550",VLOOKUP('Val-Dép'!E55,'Val-Dép'!E55:F55,2,FALSE),"0")</f>
        <v>0</v>
      </c>
      <c r="W128" s="1081"/>
      <c r="X128" s="1162"/>
      <c r="Y128" s="1081"/>
      <c r="Z128" s="3578" t="str">
        <f>IF( 'Val-Dép'!H55="560", VLOOKUP('Val-Dép'!H55,'Val-Dép'!H55:I55,2,FALSE ),"0")</f>
        <v>0</v>
      </c>
      <c r="AA128" s="3578" t="str">
        <f>IF( 'Val-Dép'!E55="560",VLOOKUP('Val-Dép'!E55,'Val-Dép'!E55:F55,2,FALSE ),"0")</f>
        <v>0</v>
      </c>
      <c r="AB128" s="1081"/>
      <c r="AC128" s="1081"/>
      <c r="AD128" s="1081"/>
      <c r="AE128" s="1100">
        <f>IF( 'Val-Dép'!H55="570", VLOOKUP('Val-Dép'!H55,'Val-Dép'!H55:I55,2,FALSE),"0")</f>
        <v>100</v>
      </c>
      <c r="AF128" s="1100" t="str">
        <f>IF(  'Val-Dép'!E55="570",VLOOKUP('Val-Dép'!E55,'Val-Dép'!E55:F55,2,FALSE ),"0")</f>
        <v>0</v>
      </c>
      <c r="AG128" s="1100"/>
      <c r="AH128" s="1573"/>
      <c r="AJ128" s="1258"/>
      <c r="AK128" s="1258"/>
      <c r="AL128" s="1258"/>
    </row>
    <row r="129" spans="1:38" ht="10.95" customHeight="1" x14ac:dyDescent="0.25">
      <c r="B129" s="1316">
        <v>37</v>
      </c>
      <c r="C129" s="4537" t="str">
        <f>IF(AND( 'Val-Dép'!AE16="290/550", 'Val-Dép'!I16&lt;&gt;"note de crédit"),VLOOKUP('Val-Dép'!AE16,'Val-Dép'!AE16:AF16,2,FALSE ),"0")</f>
        <v>0</v>
      </c>
      <c r="D129" s="1227" t="str">
        <f>IF(AND( 'Val-Dép'!H68="Banque", 'Val-Dép'!I68&lt;&gt;"note de crédit"),VLOOKUP('Val-Dép'!#REF!,'Val-Dép'!#REF!,6,FALSE ),"0")</f>
        <v>0</v>
      </c>
      <c r="E129" s="1317"/>
      <c r="H129" s="2478" t="str">
        <f>IF(AND( 'Val-Dép'!AE15="290/560", 'Val-Dép'!I15&lt;&gt;"note de crédit"),VLOOKUP('Val-Dép'!AE15,'Val-Dép'!AE15:AF15,2,FALSE ),"0")</f>
        <v>0</v>
      </c>
      <c r="I129" s="1223" t="str">
        <f>IF(AND( 'Val-Dép'!H68="Bq post", 'Val-Dép'!I68&lt;&gt;"note de crédit"),VLOOKUP('Val-Dép'!#REF!,'Val-Dép'!#REF!,6,FALSE ),"0")</f>
        <v>0</v>
      </c>
      <c r="J129" s="1225"/>
      <c r="K129" s="1081"/>
      <c r="M129" s="2475" t="str">
        <f>IF(AND( 'Val-Dép'!AE15="290/570", 'Val-Dép'!I15&lt;&gt;"note de crédit"),VLOOKUP('Val-Dép'!AE15,'Val-Dép'!AE15:AF15,2,FALSE ),"0")</f>
        <v>0</v>
      </c>
      <c r="N129" s="1223" t="str">
        <f>IF(AND( 'Val-Dép'!AE44=570, 'Val-Dép'!I44&lt;&gt;"note de crédit"),VLOOKUP('Val-Dép'!AE44,'Val-Dép'!AE44:AF44,2,FALSE ),"0")</f>
        <v>0</v>
      </c>
      <c r="O129" s="1310"/>
      <c r="P129" s="1431"/>
      <c r="Q129" s="2719"/>
      <c r="R129" s="1258"/>
      <c r="S129" s="3650"/>
      <c r="T129" s="1081"/>
      <c r="U129" s="3571" t="str">
        <f>IF( 'Val-Dép'!H56="550", VLOOKUP('Val-Dép'!H56,'Val-Dép'!H56:I58,2,FALSE),"0")</f>
        <v>0</v>
      </c>
      <c r="V129" s="3571" t="str">
        <f>IF( 'Val-Dép'!E56="550",VLOOKUP('Val-Dép'!E56,'Val-Dép'!E56:F56,2,FALSE),"0")</f>
        <v>0</v>
      </c>
      <c r="W129" s="1081">
        <v>5</v>
      </c>
      <c r="X129" s="1162"/>
      <c r="Y129" s="1081"/>
      <c r="Z129" s="3578" t="str">
        <f>IF( 'Val-Dép'!H56="560", VLOOKUP('Val-Dép'!H56,'Val-Dép'!H56:I56,2,FALSE ),"0")</f>
        <v>0</v>
      </c>
      <c r="AA129" s="2720" t="str">
        <f>IF( 'Val-Dép'!E56="560",VLOOKUP('Val-Dép'!E56,'Val-Dép'!E56:F56,2,FALSE ),"0")</f>
        <v>0</v>
      </c>
      <c r="AB129" s="1081"/>
      <c r="AC129" s="1081"/>
      <c r="AD129" s="1081"/>
      <c r="AE129" s="1100" t="str">
        <f>IF( 'Val-Dép'!H56="560&gt;570", VLOOKUP('Val-Dép'!H56,'Val-Dép'!H56:I56,2,FALSE),"0")</f>
        <v>0</v>
      </c>
      <c r="AF129" s="1100" t="str">
        <f>IF( 'Val-Dép'!E56="570",VLOOKUP('Val-Dép'!E56,'Val-Dép'!E56:F56,2,FALSE ),"0")</f>
        <v>0</v>
      </c>
      <c r="AG129" s="1100"/>
      <c r="AH129" s="1573"/>
      <c r="AJ129" s="1258"/>
      <c r="AK129" s="1258"/>
      <c r="AL129" s="1258"/>
    </row>
    <row r="130" spans="1:38" ht="10.95" customHeight="1" x14ac:dyDescent="0.25">
      <c r="B130" s="1316">
        <v>38</v>
      </c>
      <c r="C130" s="4537" t="str">
        <f>IF(AND( 'Val-Dép'!AE17="290/550", 'Val-Dép'!I17&lt;&gt;"note de crédit"),VLOOKUP('Val-Dép'!AE17,'Val-Dép'!AE17:AF17,2,FALSE ),"0")</f>
        <v>0</v>
      </c>
      <c r="D130" s="1227" t="str">
        <f>IF(AND( 'Val-Dép'!H69="Banque", 'Val-Dép'!I69&lt;&gt;"note de crédit"),VLOOKUP('Val-Dép'!#REF!,'Val-Dép'!#REF!,6,FALSE ),"0")</f>
        <v>0</v>
      </c>
      <c r="E130" s="1317"/>
      <c r="F130" s="1255"/>
      <c r="G130" s="1081"/>
      <c r="H130" s="2478" t="str">
        <f>IF(AND( 'Val-Dép'!AE16="290/560", 'Val-Dép'!I16&lt;&gt;"note de crédit"),VLOOKUP('Val-Dép'!AE16,'Val-Dép'!AE16:AF16,2,FALSE ),"0")</f>
        <v>0</v>
      </c>
      <c r="I130" s="1223" t="str">
        <f>IF(AND( 'Val-Dép'!H69="Bq post", 'Val-Dép'!I69&lt;&gt;"note de crédit"),VLOOKUP('Val-Dép'!#REF!,'Val-Dép'!#REF!,6,FALSE ),"0")</f>
        <v>0</v>
      </c>
      <c r="J130" s="1225"/>
      <c r="K130" s="1081"/>
      <c r="M130" s="2475" t="str">
        <f>IF(AND( 'Val-Dép'!AE16="290/570", 'Val-Dép'!I16&lt;&gt;"note de crédit"),VLOOKUP('Val-Dép'!AE16,'Val-Dép'!AE16:AF16,2,FALSE ),"0")</f>
        <v>0</v>
      </c>
      <c r="N130" s="1223" t="str">
        <f>IF(AND( 'Val-Dép'!AE45=570, 'Val-Dép'!I45&lt;&gt;"note de crédit"),VLOOKUP('Val-Dép'!AE45,'Val-Dép'!AE45:AF45,2,FALSE ),"0")</f>
        <v>0</v>
      </c>
      <c r="O130" s="1310"/>
      <c r="P130" s="1431"/>
      <c r="Q130" s="1258"/>
      <c r="R130" s="1258"/>
      <c r="S130" s="3649"/>
      <c r="T130" s="1081"/>
      <c r="U130" s="3571" t="str">
        <f>IF( 'Val-Dép'!H57="550", VLOOKUP('Val-Dép'!H57,'Val-Dép'!H57:I59,2,FALSE),"0")</f>
        <v>0</v>
      </c>
      <c r="V130" s="3571" t="str">
        <f>IF( 'Val-Dép'!E57="550",VLOOKUP('Val-Dép'!E57,'Val-Dép'!E57:F57,2,FALSE),"0")</f>
        <v>0</v>
      </c>
      <c r="W130" s="1081"/>
      <c r="X130" s="1162"/>
      <c r="Y130" s="1081"/>
      <c r="Z130" s="3578" t="str">
        <f>IF( 'Val-Dép'!H57="560", VLOOKUP('Val-Dép'!H57,'Val-Dép'!H57:I57,2,FALSE ),"0")</f>
        <v>0</v>
      </c>
      <c r="AA130" s="2720" t="str">
        <f>IF( 'Val-Dép'!E57="560",VLOOKUP('Val-Dép'!E57,'Val-Dép'!E57:F57,2,FALSE ),"0")</f>
        <v>0</v>
      </c>
      <c r="AB130" s="1081"/>
      <c r="AC130" s="1202"/>
      <c r="AD130" s="1081"/>
      <c r="AE130" s="1100">
        <f>IF( 'Val-Dép'!H57="570", VLOOKUP('Val-Dép'!H57,'Val-Dép'!H57:I57,2,FALSE),"0")</f>
        <v>0</v>
      </c>
      <c r="AF130" s="1100" t="str">
        <f>IF( 'Val-Dép'!E57="570",VLOOKUP('Val-Dép'!E57,'Val-Dép'!E57:F57,2,FALSE ),"0")</f>
        <v>0</v>
      </c>
      <c r="AG130" s="1100"/>
      <c r="AH130" s="1573"/>
      <c r="AJ130" s="1258"/>
      <c r="AK130" s="1258"/>
      <c r="AL130" s="1258"/>
    </row>
    <row r="131" spans="1:38" ht="10.95" customHeight="1" x14ac:dyDescent="0.25">
      <c r="B131" s="1316">
        <v>39</v>
      </c>
      <c r="C131" s="4537" t="str">
        <f>IF(AND( 'Val-Dép'!AE18="290/550", 'Val-Dép'!I18&lt;&gt;"note de crédit"),VLOOKUP('Val-Dép'!AE18,'Val-Dép'!AE18:AF18,2,FALSE ),"0")</f>
        <v>0</v>
      </c>
      <c r="D131" s="1227" t="str">
        <f>IF(AND( 'Val-Dép'!H70="Banque", 'Val-Dép'!I70&lt;&gt;"note de crédit"),VLOOKUP('Val-Dép'!#REF!,'Val-Dép'!#REF!,6,FALSE ),"0")</f>
        <v>0</v>
      </c>
      <c r="E131" s="1319"/>
      <c r="F131" s="1255"/>
      <c r="G131" s="1081"/>
      <c r="H131" s="2478" t="str">
        <f>IF(AND( 'Val-Dép'!AE17="290/560", 'Val-Dép'!I17&lt;&gt;"note de crédit"),VLOOKUP('Val-Dép'!AE17,'Val-Dép'!AE17:AF17,2,FALSE ),"0")</f>
        <v>0</v>
      </c>
      <c r="I131" s="1223" t="str">
        <f>IF(AND( 'Val-Dép'!H70="Bq post", 'Val-Dép'!I70&lt;&gt;"note de crédit"),VLOOKUP('Val-Dép'!#REF!,'Val-Dép'!#REF!,6,FALSE ),"0")</f>
        <v>0</v>
      </c>
      <c r="J131" s="1225"/>
      <c r="K131" s="1081"/>
      <c r="M131" s="2475" t="str">
        <f>IF(AND( 'Val-Dép'!AE17="290/570", 'Val-Dép'!I17&lt;&gt;"note de crédit"),VLOOKUP('Val-Dép'!AE17,'Val-Dép'!AE17:AF17,2,FALSE ),"0")</f>
        <v>0</v>
      </c>
      <c r="N131" s="1223" t="str">
        <f>IF(AND( 'Val-Dép'!AE46=570, 'Val-Dép'!I46&lt;&gt;"note de crédit"),VLOOKUP('Val-Dép'!AE46,'Val-Dép'!AE46:AF46,2,FALSE ),"0")</f>
        <v>0</v>
      </c>
      <c r="O131" s="1310"/>
      <c r="P131"/>
      <c r="Q131" s="1431"/>
      <c r="R131" s="1126"/>
      <c r="S131" s="3651"/>
      <c r="T131" s="3571"/>
      <c r="U131" s="3571" t="str">
        <f>IF( 'Val-Dép'!H58="550", VLOOKUP('Val-Dép'!H58,'Val-Dép'!H58:I60,2,FALSE),"0")</f>
        <v>0</v>
      </c>
      <c r="V131" s="3571" t="str">
        <f>IF( 'Val-Dép'!E58="550",VLOOKUP('Val-Dép'!E58,'Val-Dép'!E58:F58,2,FALSE),"0")</f>
        <v>0</v>
      </c>
      <c r="W131" s="1081"/>
      <c r="X131" s="1162"/>
      <c r="Y131" s="3578"/>
      <c r="Z131" s="3578" t="str">
        <f>IF( 'Val-Dép'!H58="560", VLOOKUP('Val-Dép'!H58,'Val-Dép'!H58:I58,2,FALSE ),"0")</f>
        <v>0</v>
      </c>
      <c r="AA131" s="2720" t="str">
        <f>IF( 'Val-Dép'!E58="560",VLOOKUP('Val-Dép'!E58,'Val-Dép'!E58:F58,2,FALSE ),"0")</f>
        <v>0</v>
      </c>
      <c r="AB131" s="1081"/>
      <c r="AC131" s="1202"/>
      <c r="AD131" s="1100"/>
      <c r="AE131" s="1100">
        <f>IF( 'Val-Dép'!H58="570", VLOOKUP('Val-Dép'!H58,'Val-Dép'!H58:I58,2,FALSE),"0")</f>
        <v>0</v>
      </c>
      <c r="AF131" s="1100" t="str">
        <f>IF( 'Val-Dép'!E58="570",VLOOKUP('Val-Dép'!E58,'Val-Dép'!E58:F58,2,FALSE ),"0")</f>
        <v>0</v>
      </c>
      <c r="AG131" s="1100"/>
      <c r="AH131" s="1573"/>
      <c r="AJ131" s="1258"/>
      <c r="AK131" s="1258"/>
      <c r="AL131" s="1258"/>
    </row>
    <row r="132" spans="1:38" ht="10.95" customHeight="1" x14ac:dyDescent="0.25">
      <c r="B132" s="4531">
        <v>40</v>
      </c>
      <c r="C132" s="4537" t="str">
        <f>IF(AND( 'Val-Dép'!AE19="290/550", 'Val-Dép'!I19&lt;&gt;"note de crédit"),VLOOKUP('Val-Dép'!AE19,'Val-Dép'!AE19:AF19,2,FALSE ),"0")</f>
        <v>0</v>
      </c>
      <c r="D132" s="1227" t="str">
        <f>IF(AND( 'Val-Dép'!H71="Banque", 'Val-Dép'!I71&lt;&gt;"note de crédit"),VLOOKUP('Val-Dép'!#REF!,'Val-Dép'!#REF!,6,FALSE ),"0")</f>
        <v>0</v>
      </c>
      <c r="E132" s="1319"/>
      <c r="F132" s="1255"/>
      <c r="H132" s="2478" t="str">
        <f>IF(AND( 'Val-Dép'!AE18="290/560", 'Val-Dép'!I18&lt;&gt;"note de crédit"),VLOOKUP('Val-Dép'!AE18,'Val-Dép'!AE18:AF18,2,FALSE ),"0")</f>
        <v>0</v>
      </c>
      <c r="I132" s="1223" t="str">
        <f>IF(AND( 'Val-Dép'!H71="Bq post", 'Val-Dép'!I71&lt;&gt;"note de crédit"),VLOOKUP('Val-Dép'!#REF!,'Val-Dép'!#REF!,6,FALSE ),"0")</f>
        <v>0</v>
      </c>
      <c r="J132" s="1225"/>
      <c r="K132" s="1081"/>
      <c r="M132" s="2475" t="str">
        <f>IF(AND( 'Val-Dép'!AE18="290/570", 'Val-Dép'!I18&lt;&gt;"note de crédit"),VLOOKUP('Val-Dép'!AE18,'Val-Dép'!AE18:AF18,2,FALSE ),"0")</f>
        <v>0</v>
      </c>
      <c r="N132" s="1223" t="str">
        <f>IF(AND( 'Val-Dép'!AE47=570, 'Val-Dép'!I47&lt;&gt;"note de crédit"),VLOOKUP('Val-Dép'!AE47,'Val-Dép'!AE47:AF47,2,FALSE ),"0")</f>
        <v>0</v>
      </c>
      <c r="O132" s="1321"/>
      <c r="P132" s="1431"/>
      <c r="Q132" s="1126"/>
      <c r="R132" s="1126"/>
      <c r="S132" s="3651"/>
      <c r="T132" s="1081"/>
      <c r="U132" s="3571" t="str">
        <f>IF( 'Val-Dép'!H59="550", VLOOKUP('Val-Dép'!H59,'Val-Dép'!H59:I61,2,FALSE),"0")</f>
        <v>0</v>
      </c>
      <c r="V132" s="3571" t="str">
        <f>IF( 'Val-Dép'!E59="550",VLOOKUP('Val-Dép'!E59,'Val-Dép'!E59:F59,2,FALSE),"0")</f>
        <v>0</v>
      </c>
      <c r="W132" s="1081"/>
      <c r="X132" s="1162"/>
      <c r="Y132" s="1081"/>
      <c r="Z132" s="3578" t="str">
        <f>IF( 'Val-Dép'!H59="560", VLOOKUP('Val-Dép'!H59,'Val-Dép'!H59:I59,2,FALSE ),"0")</f>
        <v>0</v>
      </c>
      <c r="AA132" s="2720" t="str">
        <f>IF( 'Val-Dép'!E59="560",VLOOKUP('Val-Dép'!E59,'Val-Dép'!E59:F59,2,FALSE ),"0")</f>
        <v>0</v>
      </c>
      <c r="AB132" s="1081"/>
      <c r="AC132" s="1202"/>
      <c r="AD132" s="1081"/>
      <c r="AE132" s="1100" t="str">
        <f>IF( 'Val-Dép'!H59="570", VLOOKUP('Val-Dép'!H59,'Val-Dép'!H59:I59,2,FALSE),"0")</f>
        <v>0</v>
      </c>
      <c r="AF132" s="1100" t="str">
        <f>IF( 'Val-Dép'!E59="570",VLOOKUP('Val-Dép'!E59,'Val-Dép'!E59:F59,2,FALSE ),"0")</f>
        <v>0</v>
      </c>
      <c r="AG132" s="1100"/>
      <c r="AH132" s="1573"/>
      <c r="AJ132" s="1258"/>
      <c r="AK132" s="1258"/>
      <c r="AL132" s="1258"/>
    </row>
    <row r="133" spans="1:38" ht="10.95" customHeight="1" x14ac:dyDescent="0.25">
      <c r="B133" s="4531">
        <v>41</v>
      </c>
      <c r="C133" s="4537" t="str">
        <f>IF(AND( 'Val-Dép'!AE20="290/550", 'Val-Dép'!I20&lt;&gt;"note de crédit"),VLOOKUP('Val-Dép'!AE20,'Val-Dép'!AE20:AF20,2,FALSE ),"0")</f>
        <v>0</v>
      </c>
      <c r="D133" s="1227" t="str">
        <f>IF(AND( 'Val-Dép'!H72="Banque", 'Val-Dép'!I72&lt;&gt;"note de crédit"),VLOOKUP('Val-Dép'!#REF!,'Val-Dép'!#REF!,6,FALSE ),"0")</f>
        <v>0</v>
      </c>
      <c r="E133" s="1322"/>
      <c r="G133" s="1081"/>
      <c r="H133" s="2478" t="str">
        <f>IF(AND( 'Val-Dép'!AE19="290/560", 'Val-Dép'!I19&lt;&gt;"note de crédit"),VLOOKUP('Val-Dép'!AE19,'Val-Dép'!AE19:AF19,2,FALSE ),"0")</f>
        <v>0</v>
      </c>
      <c r="I133" s="1223" t="str">
        <f>IF(AND( 'Val-Dép'!H72="Bq post", 'Val-Dép'!I72&lt;&gt;"note de crédit"),VLOOKUP('Val-Dép'!#REF!,'Val-Dép'!#REF!,6,FALSE ),"0")</f>
        <v>0</v>
      </c>
      <c r="J133" s="1225"/>
      <c r="K133" s="1081"/>
      <c r="M133" s="2475" t="str">
        <f>IF(AND( 'Val-Dép'!AE19="290/570", 'Val-Dép'!I19&lt;&gt;"note de crédit"),VLOOKUP('Val-Dép'!AE19,'Val-Dép'!AE19:AF19,2,FALSE ),"0")</f>
        <v>0</v>
      </c>
      <c r="N133" s="1223" t="str">
        <f>IF(AND( 'Val-Dép'!AE48=570, 'Val-Dép'!I48&lt;&gt;"note de crédit"),VLOOKUP('Val-Dép'!AE48,'Val-Dép'!AE48:AF48,2,FALSE ),"0")</f>
        <v>0</v>
      </c>
      <c r="O133" s="1323"/>
      <c r="P133" s="1688"/>
      <c r="Q133" s="1126"/>
      <c r="R133" s="2241"/>
      <c r="S133" s="3651"/>
      <c r="T133" s="1081"/>
      <c r="U133" s="3571" t="str">
        <f>IF( 'Val-Dép'!H60="550", VLOOKUP('Val-Dép'!H60,'Val-Dép'!H60:I62,2,FALSE),"0")</f>
        <v>0</v>
      </c>
      <c r="V133" s="3571" t="str">
        <f>IF( 'Val-Dép'!E60="550",VLOOKUP('Val-Dép'!E60,'Val-Dép'!E60:F60,2,FALSE),"0")</f>
        <v>0</v>
      </c>
      <c r="W133" s="1081"/>
      <c r="X133" s="1162"/>
      <c r="Y133" s="1081"/>
      <c r="Z133" s="3578" t="str">
        <f>IF( 'Val-Dép'!H60="560", VLOOKUP('Val-Dép'!H60,'Val-Dép'!H60:I60,2,FALSE ),"0")</f>
        <v>0</v>
      </c>
      <c r="AA133" s="2720" t="str">
        <f>IF( 'Val-Dép'!E60="560",VLOOKUP('Val-Dép'!E60,'Val-Dép'!E60:F60,2,FALSE ),"0")</f>
        <v>0</v>
      </c>
      <c r="AB133" s="1081"/>
      <c r="AC133" s="1202"/>
      <c r="AD133" s="1081"/>
      <c r="AE133" s="1100" t="str">
        <f>IF( 'Val-Dép'!H60="570", VLOOKUP('Val-Dép'!H60,'Val-Dép'!H60:I60,2,FALSE),"0")</f>
        <v>0</v>
      </c>
      <c r="AF133" s="1100" t="str">
        <f>IF( 'Val-Dép'!E60="570",VLOOKUP('Val-Dép'!E60,'Val-Dép'!E60:F60,2,FALSE ),"0")</f>
        <v>0</v>
      </c>
      <c r="AG133" s="1100"/>
      <c r="AH133" s="1573"/>
      <c r="AJ133" s="1258"/>
      <c r="AK133" s="1258"/>
      <c r="AL133" s="1258"/>
    </row>
    <row r="134" spans="1:38" s="2807" customFormat="1" ht="10.95" customHeight="1" thickBot="1" x14ac:dyDescent="0.3">
      <c r="A134" s="1087"/>
      <c r="B134" s="4531">
        <v>42</v>
      </c>
      <c r="C134" s="4537" t="str">
        <f>IF(AND( 'Val-Dép'!AE21="290/550", 'Val-Dép'!I21&lt;&gt;"note de crédit"),VLOOKUP('Val-Dép'!AE21,'Val-Dép'!AE21:AF21,2,FALSE ),"0")</f>
        <v>0</v>
      </c>
      <c r="D134" s="1227" t="str">
        <f>IF(AND( 'Val-Dép'!H73="Banque", 'Val-Dép'!I73&lt;&gt;"note de crédit"),VLOOKUP('Val-Dép'!#REF!,'Val-Dép'!#REF!,6,FALSE ),"0")</f>
        <v>0</v>
      </c>
      <c r="E134" s="1261"/>
      <c r="F134" s="1168"/>
      <c r="G134" s="1261"/>
      <c r="H134" s="2478" t="str">
        <f>IF(AND( 'Val-Dép'!AE20="290/560", 'Val-Dép'!I20&lt;&gt;"note de crédit"),VLOOKUP('Val-Dép'!AE20,'Val-Dép'!AE20:AF20,2,FALSE ),"0")</f>
        <v>0</v>
      </c>
      <c r="I134" s="1223" t="str">
        <f>IF(AND( 'Val-Dép'!H73="Bq post", 'Val-Dép'!I73&lt;&gt;"note de crédit"),VLOOKUP('Val-Dép'!#REF!,'Val-Dép'!#REF!,6,FALSE ),"0")</f>
        <v>0</v>
      </c>
      <c r="J134" s="1225"/>
      <c r="K134" s="1081"/>
      <c r="L134" s="1081"/>
      <c r="M134" s="2475" t="str">
        <f>IF(AND( 'Val-Dép'!AE20="290/570", 'Val-Dép'!I20&lt;&gt;"note de crédit"),VLOOKUP('Val-Dép'!AE20,'Val-Dép'!AE20:AF20,2,FALSE ),"0")</f>
        <v>0</v>
      </c>
      <c r="N134" s="1223" t="str">
        <f>IF(AND( 'Val-Dép'!AE49=570, 'Val-Dép'!I49&lt;&gt;"note de crédit"),VLOOKUP('Val-Dép'!AE49,'Val-Dép'!AE49:AF49,2,FALSE ),"0")</f>
        <v>0</v>
      </c>
      <c r="O134" s="1323"/>
      <c r="P134" s="1348"/>
      <c r="Q134" s="2241"/>
      <c r="R134" s="1126"/>
      <c r="S134" s="3651"/>
      <c r="T134" s="1081"/>
      <c r="U134" s="3571" t="str">
        <f>IF( 'Val-Dép'!H61="550", VLOOKUP('Val-Dép'!H61,'Val-Dép'!H61:I63,2,FALSE),"0")</f>
        <v>0</v>
      </c>
      <c r="V134" s="3571" t="str">
        <f>IF( 'Val-Dép'!E61="550",VLOOKUP('Val-Dép'!E61,'Val-Dép'!E61:F61,2,FALSE),"0")</f>
        <v>0</v>
      </c>
      <c r="W134" s="1081"/>
      <c r="X134" s="1162"/>
      <c r="Y134" s="1081"/>
      <c r="Z134" s="3578" t="str">
        <f>IF( 'Val-Dép'!H61="560", VLOOKUP('Val-Dép'!H61,'Val-Dép'!H61:I61,2,FALSE ),"0")</f>
        <v>0</v>
      </c>
      <c r="AA134" s="2720" t="str">
        <f>IF( 'Val-Dép'!E61="560",VLOOKUP('Val-Dép'!E61,'Val-Dép'!E61:F61,2,FALSE ),"0")</f>
        <v>0</v>
      </c>
      <c r="AB134" s="1081"/>
      <c r="AC134" s="1202"/>
      <c r="AD134" s="1081"/>
      <c r="AE134" s="1100" t="str">
        <f>IF( 'Val-Dép'!H61="570", VLOOKUP('Val-Dép'!H61,'Val-Dép'!H61:I61,2,FALSE),"0")</f>
        <v>0</v>
      </c>
      <c r="AF134" s="1100" t="str">
        <f>IF( 'Val-Dép'!E61="570",VLOOKUP('Val-Dép'!E61,'Val-Dép'!E61:F61,2,FALSE ),"0")</f>
        <v>0</v>
      </c>
      <c r="AG134" s="1100"/>
      <c r="AH134" s="1573"/>
      <c r="AI134" s="1087"/>
      <c r="AJ134" s="2817"/>
      <c r="AK134" s="2817"/>
      <c r="AL134" s="2817"/>
    </row>
    <row r="135" spans="1:38" ht="10.95" customHeight="1" thickBot="1" x14ac:dyDescent="0.3">
      <c r="A135" s="2807"/>
      <c r="B135" s="4532">
        <v>43</v>
      </c>
      <c r="C135" s="4537" t="str">
        <f>IF(AND( 'Val-Dép'!AE22="290/550", 'Val-Dép'!I22&lt;&gt;"note de crédit"),VLOOKUP('Val-Dép'!AE22,'Val-Dép'!AE22:AF22,2,FALSE ),"0")</f>
        <v>0</v>
      </c>
      <c r="D135" s="1227" t="str">
        <f>IF(AND( 'Val-Dép'!H74="Banque", 'Val-Dép'!I74&lt;&gt;"note de crédit"),VLOOKUP('Val-Dép'!#REF!,'Val-Dép'!#REF!,6,FALSE ),"0")</f>
        <v>0</v>
      </c>
      <c r="E135" s="2809"/>
      <c r="F135" s="1226"/>
      <c r="G135" s="2809"/>
      <c r="H135" s="2810" t="str">
        <f>IF(AND( 'Val-Dép'!AE21="290/560", 'Val-Dép'!I21&lt;&gt;"note de crédit"),VLOOKUP('Val-Dép'!AE21,'Val-Dép'!AE21:AF21,2,FALSE ),"0")</f>
        <v>0</v>
      </c>
      <c r="I135" s="1223" t="str">
        <f>IF(AND( 'Val-Dép'!H74="Bq post", 'Val-Dép'!I74&lt;&gt;"note de crédit"),VLOOKUP('Val-Dép'!#REF!,'Val-Dép'!#REF!,6,FALSE ),"0")</f>
        <v>0</v>
      </c>
      <c r="J135" s="2812"/>
      <c r="K135" s="2813"/>
      <c r="L135" s="2809"/>
      <c r="M135" s="2814" t="str">
        <f>IF(AND( 'Val-Dép'!AE21="290/570", 'Val-Dép'!I21&lt;&gt;"note de crédit"),VLOOKUP('Val-Dép'!AE21,'Val-Dép'!AE21:AF21,2,FALSE ),"0")</f>
        <v>0</v>
      </c>
      <c r="N135" s="2811" t="str">
        <f>IF(AND( 'Val-Dép'!AE50=570, 'Val-Dép'!I50&lt;&gt;"note de crédit"),VLOOKUP('Val-Dép'!AE50,'Val-Dép'!AE50:AF50,2,FALSE ),"0")</f>
        <v>0</v>
      </c>
      <c r="O135" s="2815"/>
      <c r="P135" s="2816"/>
      <c r="Q135" s="1126"/>
      <c r="R135" s="1126"/>
      <c r="S135" s="3651"/>
      <c r="T135" s="1261"/>
      <c r="U135" s="3571" t="str">
        <f>IF( 'Val-Dép'!H62="550", VLOOKUP('Val-Dép'!H62,'Val-Dép'!H62:I64,2,FALSE),"0")</f>
        <v>0</v>
      </c>
      <c r="V135" s="3571" t="str">
        <f>IF( 'Val-Dép'!E62="550",VLOOKUP('Val-Dép'!E62,'Val-Dép'!E62:F62,2,FALSE),"0")</f>
        <v>0</v>
      </c>
      <c r="W135" s="1261"/>
      <c r="X135" s="1162"/>
      <c r="Y135" s="1262"/>
      <c r="Z135" s="3578" t="str">
        <f>IF( 'Val-Dép'!H62="560", VLOOKUP('Val-Dép'!H62,'Val-Dép'!H62:I62,2,FALSE ),"0")</f>
        <v>0</v>
      </c>
      <c r="AA135" s="2720" t="str">
        <f>IF( 'Val-Dép'!E62="560",VLOOKUP('Val-Dép'!E62,'Val-Dép'!E62:F62,2,FALSE ),"0")</f>
        <v>0</v>
      </c>
      <c r="AB135" s="1262"/>
      <c r="AC135" s="1204"/>
      <c r="AD135" s="1081"/>
      <c r="AE135" s="1100" t="str">
        <f>IF( 'Val-Dép'!H62="570", VLOOKUP('Val-Dép'!H62,'Val-Dép'!H62:I62,2,FALSE),"0")</f>
        <v>0</v>
      </c>
      <c r="AF135" s="1100" t="str">
        <f>IF( 'Val-Dép'!E62="570",VLOOKUP('Val-Dép'!E62,'Val-Dép'!E62:F62,2,FALSE ),"0")</f>
        <v>0</v>
      </c>
      <c r="AG135" s="1687"/>
      <c r="AH135" s="1573"/>
      <c r="AJ135" s="1258"/>
      <c r="AK135" s="1258"/>
      <c r="AL135" s="1258"/>
    </row>
    <row r="136" spans="1:38" ht="10.95" customHeight="1" thickBot="1" x14ac:dyDescent="0.3">
      <c r="B136" s="4531">
        <v>44</v>
      </c>
      <c r="C136" s="4537" t="str">
        <f>IF(AND( 'Val-Dép'!AE23="290/550", 'Val-Dép'!I23&lt;&gt;"note de crédit"),VLOOKUP('Val-Dép'!AE23,'Val-Dép'!AE23:AF23,2,FALSE ),"0")</f>
        <v>0</v>
      </c>
      <c r="D136" s="1227" t="str">
        <f>IF(AND( 'Val-Dép'!H75="Banque", 'Val-Dép'!I75&lt;&gt;"note de crédit"),VLOOKUP('Val-Dép'!#REF!,'Val-Dép'!#REF!,6,FALSE ),"0")</f>
        <v>0</v>
      </c>
      <c r="E136" s="1081"/>
      <c r="F136" s="1168"/>
      <c r="G136" s="1081"/>
      <c r="H136" s="2478" t="str">
        <f>IF(AND( 'Val-Dép'!AE22="290/560", 'Val-Dép'!I22&lt;&gt;"note de crédit"),VLOOKUP('Val-Dép'!AE22,'Val-Dép'!AE22:AF22,2,FALSE ),"0")</f>
        <v>0</v>
      </c>
      <c r="I136" s="1223" t="str">
        <f>IF(AND( 'Val-Dép'!H75="Bq post", 'Val-Dép'!I75&lt;&gt;"note de crédit"),VLOOKUP('Val-Dép'!#REF!,'Val-Dép'!#REF!,6,FALSE ),"0")</f>
        <v>0</v>
      </c>
      <c r="J136" s="1225"/>
      <c r="K136" s="1249"/>
      <c r="M136" s="2475" t="str">
        <f>IF(AND( 'Val-Dép'!AE22="290/570", 'Val-Dép'!I22&lt;&gt;"note de crédit"),VLOOKUP('Val-Dép'!AE22,'Val-Dép'!AE22:AF22,2,FALSE ),"0")</f>
        <v>0</v>
      </c>
      <c r="N136" s="1223" t="str">
        <f>IF(AND( 'Val-Dép'!AE51=570, 'Val-Dép'!I51&lt;&gt;"note de crédit"),VLOOKUP('Val-Dép'!AE51,'Val-Dép'!AE51:AF51,2,FALSE ),"0")</f>
        <v>0</v>
      </c>
      <c r="O136" s="1323"/>
      <c r="P136" s="1348"/>
      <c r="Q136" s="1126"/>
      <c r="R136" s="1126"/>
      <c r="S136" s="3652"/>
      <c r="T136" s="1582" t="s">
        <v>186</v>
      </c>
      <c r="U136" s="1687"/>
      <c r="V136" s="3653"/>
      <c r="W136" s="1582" t="s">
        <v>185</v>
      </c>
      <c r="X136" s="1584"/>
      <c r="Y136" s="3654" t="s">
        <v>203</v>
      </c>
      <c r="Z136" s="3653">
        <f>U136-V136</f>
        <v>0</v>
      </c>
      <c r="AA136" s="2748"/>
      <c r="AB136" s="1582"/>
      <c r="AC136" s="3655"/>
      <c r="AD136" s="1583"/>
      <c r="AE136" s="3656"/>
      <c r="AF136" s="3656"/>
      <c r="AG136" s="1582"/>
      <c r="AH136" s="3657"/>
      <c r="AI136" s="1258"/>
      <c r="AJ136" s="1258"/>
      <c r="AK136" s="1258"/>
      <c r="AL136" s="1258"/>
    </row>
    <row r="137" spans="1:38" ht="10.95" customHeight="1" thickBot="1" x14ac:dyDescent="0.3">
      <c r="B137" s="4533">
        <v>45</v>
      </c>
      <c r="C137" s="4537" t="str">
        <f>IF(AND( 'Val-Dép'!AE24="290/550", 'Val-Dép'!I24&lt;&gt;"note de crédit"),VLOOKUP('Val-Dép'!AE24,'Val-Dép'!AE24:AF24,2,FALSE ),"0")</f>
        <v>0</v>
      </c>
      <c r="D137" s="1227" t="str">
        <f>IF(AND( 'Val-Dép'!H76="Banque", 'Val-Dép'!I76&lt;&gt;"note de crédit"),VLOOKUP('Val-Dép'!#REF!,'Val-Dép'!#REF!,6,FALSE ),"0")</f>
        <v>0</v>
      </c>
      <c r="E137" s="1081"/>
      <c r="F137" s="1168"/>
      <c r="G137" s="1081"/>
      <c r="H137" s="2478" t="str">
        <f>IF(AND( 'Val-Dép'!AE23="290/560", 'Val-Dép'!I23&lt;&gt;"note de crédit"),VLOOKUP('Val-Dép'!AE23,'Val-Dép'!AE23:AF23,2,FALSE ),"0")</f>
        <v>0</v>
      </c>
      <c r="I137" s="1223" t="str">
        <f>IF(AND( 'Val-Dép'!H76="Bq post", 'Val-Dép'!I76&lt;&gt;"note de crédit"),VLOOKUP('Val-Dép'!#REF!,'Val-Dép'!#REF!,6,FALSE ),"0")</f>
        <v>0</v>
      </c>
      <c r="J137" s="1225"/>
      <c r="M137" s="2827" t="str">
        <f>IF(AND( 'Val-Dép'!AE23="290/570", 'Val-Dép'!I23&lt;&gt;"note de crédit"),VLOOKUP('Val-Dép'!AE23,'Val-Dép'!AE23:AF23,2,FALSE ),"0")</f>
        <v>0</v>
      </c>
      <c r="N137" s="1223" t="str">
        <f>IF(AND( 'Val-Dép'!AE52=570, 'Val-Dép'!I52&lt;&gt;"note de crédit"),VLOOKUP('Val-Dép'!AE52,'Val-Dép'!AE52:AF52,2,FALSE ),"0")</f>
        <v>0</v>
      </c>
      <c r="O137" s="1323"/>
      <c r="P137" s="1348"/>
      <c r="Q137" s="1126"/>
      <c r="R137" s="1126"/>
      <c r="S137" s="1258"/>
      <c r="T137" s="1358"/>
      <c r="U137" s="1386"/>
      <c r="V137" s="1213"/>
      <c r="W137" s="1258"/>
      <c r="X137" s="1126"/>
      <c r="Y137" s="1336"/>
      <c r="Z137" s="1258"/>
      <c r="AA137" s="1252"/>
      <c r="AB137" s="1339"/>
      <c r="AC137" s="1258"/>
      <c r="AD137" s="1258"/>
      <c r="AE137" s="1258"/>
      <c r="AF137" s="1258"/>
      <c r="AG137" s="1258"/>
      <c r="AH137" s="1258"/>
      <c r="AI137" s="1258"/>
      <c r="AJ137" s="1258"/>
      <c r="AK137" s="1258"/>
      <c r="AL137" s="1258"/>
    </row>
    <row r="138" spans="1:38" ht="10.95" customHeight="1" thickBot="1" x14ac:dyDescent="0.3">
      <c r="B138" s="1328"/>
      <c r="C138" s="4540"/>
      <c r="D138" s="3859"/>
      <c r="E138" s="1330"/>
      <c r="F138" s="1168"/>
      <c r="G138" s="1331"/>
      <c r="H138" s="3865" t="str">
        <f>IF( 'Val-Dép'!H55="290/560",VLOOKUP('Val-Dép'!H55,'Val-Dép'!H55:I55,2,FALSE),"0")</f>
        <v>0</v>
      </c>
      <c r="I138" s="3867" t="str">
        <f>IF( 'Val-Dép'!EH55="290/560",VLOOKUP('Val-Dép'!E55,'Val-Dép'!E55:I55,2,FALSE),"0")</f>
        <v>0</v>
      </c>
      <c r="J138" s="1333"/>
      <c r="K138" s="1081"/>
      <c r="M138" s="3866" t="str">
        <f>IF( 'Val-Dép'!H55="290/570",VLOOKUP('Val-Dép'!H55,'Val-Dép'!H55:I55,2,FALSE),"0")</f>
        <v>0</v>
      </c>
      <c r="N138" s="3866" t="str">
        <f>IF( 'Val-Dép'!EH55="290/570",VLOOKUP('Val-Dép'!E55,'Val-Dép'!E55:I55,2,FALSE),"0")</f>
        <v>0</v>
      </c>
      <c r="O138" s="1348"/>
      <c r="P138" s="1348"/>
      <c r="Q138" s="1126"/>
      <c r="R138" s="1126"/>
      <c r="S138" s="1258"/>
      <c r="T138" s="1358"/>
      <c r="U138" s="1386"/>
      <c r="V138" s="1213"/>
      <c r="W138" s="1258"/>
      <c r="X138" s="1126"/>
      <c r="Y138" s="1336"/>
      <c r="Z138" s="1258"/>
      <c r="AA138" s="1252"/>
      <c r="AB138" s="1339"/>
      <c r="AC138" s="1258"/>
      <c r="AD138" s="1258"/>
      <c r="AE138" s="1258"/>
      <c r="AF138" s="1258"/>
      <c r="AG138" s="1258"/>
      <c r="AH138" s="1258"/>
      <c r="AI138" s="1258"/>
      <c r="AJ138" s="1258"/>
      <c r="AK138" s="1258"/>
      <c r="AL138" s="1258"/>
    </row>
    <row r="139" spans="1:38" ht="10.95" customHeight="1" thickTop="1" x14ac:dyDescent="0.25">
      <c r="B139" s="1342"/>
      <c r="C139" s="4537">
        <v>20</v>
      </c>
      <c r="D139" s="4544">
        <v>10</v>
      </c>
      <c r="E139" s="1344"/>
      <c r="F139" s="1168"/>
      <c r="G139" s="1345"/>
      <c r="H139" s="3865" t="str">
        <f>IF( 'Val-Dép'!H56="290/560",VLOOKUP('Val-Dép'!H56,'Val-Dép'!H56:I56,2,FALSE),"0")</f>
        <v>0</v>
      </c>
      <c r="I139" s="3867" t="str">
        <f>IF( 'Val-Dép'!EH56="290/560",VLOOKUP('Val-Dép'!E56,'Val-Dép'!E56:I56,2,FALSE),"0")</f>
        <v>0</v>
      </c>
      <c r="J139" s="1347"/>
      <c r="K139" s="2448"/>
      <c r="M139" s="3866" t="str">
        <f>IF( 'Val-Dép'!H56="290/570",VLOOKUP('Val-Dép'!H56,'Val-Dép'!H56:I56,2,FALSE),"0")</f>
        <v>0</v>
      </c>
      <c r="N139" s="3866" t="str">
        <f>IF( 'Val-Dép'!EH56="290/570",VLOOKUP('Val-Dép'!E56,'Val-Dép'!E56:I56,2,FALSE),"0")</f>
        <v>0</v>
      </c>
      <c r="O139" s="1348"/>
      <c r="P139" s="1348"/>
      <c r="Q139" s="1126"/>
      <c r="R139" s="2241"/>
      <c r="S139" s="4080" t="s">
        <v>2509</v>
      </c>
      <c r="T139" s="4081"/>
      <c r="U139" s="4081"/>
      <c r="V139" s="4081"/>
      <c r="W139" s="4081"/>
      <c r="X139" s="4081"/>
      <c r="Y139" s="4081"/>
      <c r="Z139" s="4081"/>
      <c r="AA139" s="4081"/>
      <c r="AB139" s="4081"/>
      <c r="AC139" s="4081"/>
      <c r="AD139" s="4082"/>
      <c r="AE139" s="1258"/>
      <c r="AF139" s="1258"/>
      <c r="AG139" s="1258"/>
      <c r="AH139" s="1258"/>
      <c r="AI139" s="1258"/>
      <c r="AJ139" s="1258"/>
      <c r="AK139" s="1258"/>
      <c r="AL139" s="1258"/>
    </row>
    <row r="140" spans="1:38" s="3494" customFormat="1" ht="10.95" customHeight="1" x14ac:dyDescent="0.25">
      <c r="B140" s="3864"/>
      <c r="C140" s="4537"/>
      <c r="D140" s="3859"/>
      <c r="E140" s="3860"/>
      <c r="F140" s="3866"/>
      <c r="G140" s="3861"/>
      <c r="H140" s="3865" t="str">
        <f>IF( 'Val-Dép'!H57="290/560",VLOOKUP('Val-Dép'!H57,'Val-Dép'!H57:I57,2,FALSE),"0")</f>
        <v>0</v>
      </c>
      <c r="I140" s="3867" t="str">
        <f>IF( 'Val-Dép'!EH57="290/560",VLOOKUP('Val-Dép'!E57,'Val-Dép'!E57:I57,2,FALSE),"0")</f>
        <v>0</v>
      </c>
      <c r="J140" s="3862"/>
      <c r="K140" s="3868"/>
      <c r="L140" s="3869"/>
      <c r="M140" s="3866" t="str">
        <f>IF( 'Val-Dép'!H57="290/570",VLOOKUP('Val-Dép'!H57,'Val-Dép'!H57:I57,2,FALSE),"0")</f>
        <v>0</v>
      </c>
      <c r="N140" s="3866" t="str">
        <f>IF( 'Val-Dép'!EH57="290/570",VLOOKUP('Val-Dép'!E57,'Val-Dép'!E57:I57,2,FALSE),"0")</f>
        <v>0</v>
      </c>
      <c r="O140" s="3495"/>
      <c r="P140" s="2816"/>
      <c r="Q140" s="3863"/>
      <c r="R140" s="3863"/>
      <c r="S140" s="3870"/>
      <c r="T140" s="3871"/>
      <c r="U140" s="3872"/>
      <c r="V140" s="3873"/>
      <c r="W140" s="3874"/>
      <c r="X140" s="3863"/>
      <c r="Y140" s="3875"/>
      <c r="Z140" s="3874"/>
      <c r="AA140" s="3876"/>
      <c r="AB140" s="3877"/>
      <c r="AC140" s="3874"/>
      <c r="AD140" s="3878"/>
      <c r="AH140" s="3874"/>
      <c r="AI140" s="3874"/>
      <c r="AJ140" s="3874"/>
      <c r="AK140" s="3874"/>
      <c r="AL140" s="3874"/>
    </row>
    <row r="141" spans="1:38" ht="10.95" customHeight="1" x14ac:dyDescent="0.35">
      <c r="B141" s="1342"/>
      <c r="C141" s="4537"/>
      <c r="D141" s="3859"/>
      <c r="E141" s="1353"/>
      <c r="F141" s="1168"/>
      <c r="G141" s="1354"/>
      <c r="H141" s="3865" t="str">
        <f>IF( 'Val-Dép'!H58="290/560",VLOOKUP('Val-Dép'!H58,'Val-Dép'!H58:I58,2,FALSE),"0")</f>
        <v>0</v>
      </c>
      <c r="I141" s="3867" t="str">
        <f>IF( 'Val-Dép'!EH58="290/560",VLOOKUP('Val-Dép'!E58,'Val-Dép'!E58:I58,2,FALSE),"0")</f>
        <v>0</v>
      </c>
      <c r="J141" s="1347"/>
      <c r="K141" s="1081"/>
      <c r="L141" s="1080"/>
      <c r="M141" s="3866" t="str">
        <f>IF( 'Val-Dép'!H58="290/570",VLOOKUP('Val-Dép'!H58,'Val-Dép'!H58:I58,2,FALSE),"0")</f>
        <v>0</v>
      </c>
      <c r="N141" s="3866" t="str">
        <f>IF( 'Val-Dép'!EH58="290/570",VLOOKUP('Val-Dép'!E58,'Val-Dép'!E58:I58,2,FALSE),"0")</f>
        <v>0</v>
      </c>
      <c r="O141" s="1081"/>
      <c r="P141" s="1081"/>
      <c r="Q141" s="1126"/>
      <c r="R141" s="2253"/>
      <c r="S141" s="3649"/>
      <c r="T141" s="1081"/>
      <c r="U141" s="3823" t="s">
        <v>2502</v>
      </c>
      <c r="V141" s="3823" t="s">
        <v>2507</v>
      </c>
      <c r="W141" s="3495"/>
      <c r="X141" s="3822"/>
      <c r="Y141" s="3495"/>
      <c r="Z141" s="3823" t="s">
        <v>2508</v>
      </c>
      <c r="AA141" s="3823" t="s">
        <v>2503</v>
      </c>
      <c r="AB141" s="1081"/>
      <c r="AC141" s="1081"/>
      <c r="AD141" s="1573"/>
      <c r="AE141" s="1258"/>
      <c r="AH141" s="1258"/>
      <c r="AI141" s="1258"/>
      <c r="AJ141" s="1258"/>
      <c r="AK141" s="1258"/>
      <c r="AL141" s="1258"/>
    </row>
    <row r="142" spans="1:38" ht="10.95" customHeight="1" x14ac:dyDescent="0.35">
      <c r="B142" s="1342"/>
      <c r="C142" s="4537"/>
      <c r="D142" s="3859"/>
      <c r="E142" s="1353"/>
      <c r="F142" s="1168"/>
      <c r="G142" s="1354"/>
      <c r="H142" s="3865" t="str">
        <f>IF( 'Val-Dép'!H59="290/560",VLOOKUP('Val-Dép'!H59,'Val-Dép'!H59:I59,2,FALSE),"0")</f>
        <v>0</v>
      </c>
      <c r="I142" s="3867" t="str">
        <f>IF( 'Val-Dép'!EH59="290/560",VLOOKUP('Val-Dép'!E59,'Val-Dép'!E59:I59,2,FALSE),"0")</f>
        <v>0</v>
      </c>
      <c r="J142" s="1347"/>
      <c r="K142" s="1081"/>
      <c r="M142" s="3866" t="str">
        <f>IF( 'Val-Dép'!H59="290/570",VLOOKUP('Val-Dép'!H59,'Val-Dép'!H59:I59,2,FALSE),"0")</f>
        <v>0</v>
      </c>
      <c r="N142" s="3866" t="str">
        <f>IF( 'Val-Dép'!EH59="290/570",VLOOKUP('Val-Dép'!E59,'Val-Dép'!E59:I59,2,FALSE),"0")</f>
        <v>0</v>
      </c>
      <c r="O142" s="1081"/>
      <c r="P142" s="1081"/>
      <c r="Q142" s="2253"/>
      <c r="R142" s="2253"/>
      <c r="S142" s="3649"/>
      <c r="T142" s="1081"/>
      <c r="U142" s="4078" t="s">
        <v>2500</v>
      </c>
      <c r="V142" s="4079"/>
      <c r="W142" s="1081"/>
      <c r="X142" s="1081"/>
      <c r="Y142" s="1081"/>
      <c r="Z142" s="4078" t="s">
        <v>2501</v>
      </c>
      <c r="AA142" s="4079"/>
      <c r="AB142" s="1081"/>
      <c r="AC142" s="1258"/>
      <c r="AD142" s="3648"/>
      <c r="AE142" s="1258"/>
      <c r="AH142" s="1258"/>
      <c r="AI142" s="1258"/>
      <c r="AJ142" s="1258"/>
      <c r="AK142" s="1258"/>
      <c r="AL142" s="1258"/>
    </row>
    <row r="143" spans="1:38" ht="10.95" customHeight="1" thickBot="1" x14ac:dyDescent="0.4">
      <c r="B143" s="1376" t="s">
        <v>1677</v>
      </c>
      <c r="C143" s="1377" t="s">
        <v>1661</v>
      </c>
      <c r="D143" s="1378" t="s">
        <v>1660</v>
      </c>
      <c r="E143" s="1379" t="s">
        <v>1678</v>
      </c>
      <c r="F143" s="1168"/>
      <c r="G143" s="1380" t="s">
        <v>1677</v>
      </c>
      <c r="H143" s="1377" t="s">
        <v>1667</v>
      </c>
      <c r="I143" s="1378" t="s">
        <v>1665</v>
      </c>
      <c r="J143" s="1347" t="s">
        <v>1678</v>
      </c>
      <c r="K143" s="1081"/>
      <c r="M143" s="1081"/>
      <c r="N143" s="1081"/>
      <c r="O143" s="1081"/>
      <c r="Q143" s="2253"/>
      <c r="R143" s="2825"/>
      <c r="S143" s="3649"/>
      <c r="T143" s="61" t="s">
        <v>195</v>
      </c>
      <c r="U143" s="3817">
        <v>173</v>
      </c>
      <c r="V143" s="3764" t="s">
        <v>2504</v>
      </c>
      <c r="W143" s="61" t="s">
        <v>193</v>
      </c>
      <c r="X143" s="1162"/>
      <c r="Y143" s="61" t="s">
        <v>195</v>
      </c>
      <c r="Z143" s="3817">
        <v>439</v>
      </c>
      <c r="AA143" s="3764" t="s">
        <v>2505</v>
      </c>
      <c r="AB143" s="61" t="s">
        <v>193</v>
      </c>
      <c r="AC143" s="1258"/>
      <c r="AD143" s="3648"/>
      <c r="AE143" s="1258"/>
      <c r="AH143" s="1258"/>
      <c r="AI143" s="1258"/>
      <c r="AJ143" s="1258"/>
      <c r="AK143" s="1258"/>
      <c r="AL143" s="1258"/>
    </row>
    <row r="144" spans="1:38" s="2807" customFormat="1" ht="14.4" customHeight="1" x14ac:dyDescent="0.25">
      <c r="A144" s="2803"/>
      <c r="B144" s="2800"/>
      <c r="C144" s="4536">
        <f>SUM(C126:C142)</f>
        <v>20</v>
      </c>
      <c r="D144" s="4535">
        <f>SUM(D127:D142)</f>
        <v>10</v>
      </c>
      <c r="E144" s="2802"/>
      <c r="F144" s="1126"/>
      <c r="G144" s="2257"/>
      <c r="H144" s="1421">
        <f>SUM(H126:H142)</f>
        <v>0</v>
      </c>
      <c r="I144" s="2820">
        <f>SUM(I127:I142)</f>
        <v>0</v>
      </c>
      <c r="J144" s="2258"/>
      <c r="K144" s="2803"/>
      <c r="L144" s="2803"/>
      <c r="M144" s="2633">
        <f>SUM(M126:M142)</f>
        <v>0</v>
      </c>
      <c r="N144" s="1255">
        <f>SUM(N127:N142)</f>
        <v>0</v>
      </c>
      <c r="O144" s="1087"/>
      <c r="P144" s="1087"/>
      <c r="Q144" s="2825"/>
      <c r="R144" s="2825"/>
      <c r="S144" s="3649"/>
      <c r="T144" s="1081"/>
      <c r="U144" s="3575" t="s">
        <v>2506</v>
      </c>
      <c r="V144" s="3824">
        <f>IF(ISNA(VLOOKUP($V$143,'VAL-INIT'!$J$4:$L$90,3,FALSE)),,VLOOKUP($V$143,'VAL-INIT'!$J$4:$L$90,3,FALSE))</f>
        <v>0</v>
      </c>
      <c r="W144" s="2784" t="s">
        <v>1643</v>
      </c>
      <c r="X144" s="1162"/>
      <c r="Y144" s="2784"/>
      <c r="Z144" s="3572" t="s">
        <v>2420</v>
      </c>
      <c r="AA144" s="3831">
        <f>IF(ISNA(VLOOKUP($AA$143,'VAL-INIT'!$J$4:$L$90,3,FALSE)),,VLOOKUP($AA$143,'VAL-INIT'!$J$4:$L$90,3,FALSE))</f>
        <v>0</v>
      </c>
      <c r="AB144" s="2784" t="s">
        <v>1643</v>
      </c>
      <c r="AC144" s="1258"/>
      <c r="AD144" s="3648"/>
      <c r="AE144" s="1258"/>
      <c r="AF144" s="1087"/>
      <c r="AG144" s="1087"/>
      <c r="AH144" s="1258"/>
      <c r="AI144" s="2817"/>
      <c r="AJ144" s="2817"/>
      <c r="AK144" s="2817"/>
      <c r="AL144" s="2817"/>
    </row>
    <row r="145" spans="1:38" s="2807" customFormat="1" ht="10.95" customHeight="1" thickBot="1" x14ac:dyDescent="0.4">
      <c r="A145" s="2821"/>
      <c r="B145" s="2822" t="s">
        <v>203</v>
      </c>
      <c r="C145" s="4543">
        <f>IF(C144&gt;D144, C144-D144,0)</f>
        <v>10</v>
      </c>
      <c r="D145" s="4534"/>
      <c r="E145" s="2802"/>
      <c r="F145" s="2241"/>
      <c r="G145" s="2840" t="s">
        <v>203</v>
      </c>
      <c r="H145" s="4543">
        <f>IF(H144&gt;I144, H144-I144,0)</f>
        <v>0</v>
      </c>
      <c r="I145" s="4542">
        <f>IF(H144&lt;I144, H144-I144,0)</f>
        <v>0</v>
      </c>
      <c r="J145" s="2841"/>
      <c r="K145" s="2821"/>
      <c r="L145" s="2842" t="s">
        <v>203</v>
      </c>
      <c r="M145" s="4543">
        <f>IF(M144&gt;N144, M144-N144,0)</f>
        <v>0</v>
      </c>
      <c r="N145" s="4542">
        <f>IF(M144&lt;N144, N144-M144,0)</f>
        <v>0</v>
      </c>
      <c r="O145" s="2843"/>
      <c r="Q145" s="2825"/>
      <c r="R145" s="2253"/>
      <c r="S145" s="3649"/>
      <c r="T145" s="1081"/>
      <c r="U145" s="3821" t="str">
        <f>IF( 'Val-Dép'!E55="439", VLOOKUP('Val-Dép'!E55,'Val-Dép'!E55:F55,2,FALSE),"0")</f>
        <v>0</v>
      </c>
      <c r="V145" s="3571" t="str">
        <f>IF(   'Val-Dép'!E71="550",VLOOKUP('Val-Dép'!E71,'Val-Dép'!E71:F71,2,FALSE),"0")</f>
        <v>0</v>
      </c>
      <c r="W145" s="1081"/>
      <c r="X145" s="1162"/>
      <c r="Y145" s="1081"/>
      <c r="Z145" s="3833" t="str">
        <f>IF( 'Val-Dép'!E71="560",VLOOKUP('Val-Dép'!E71,'Val-Dép'!E71:F71,2,FALSE ),"0")</f>
        <v>0</v>
      </c>
      <c r="AA145" s="3832"/>
      <c r="AB145" s="1081"/>
      <c r="AC145" s="1258"/>
      <c r="AD145" s="3648"/>
      <c r="AE145" s="1258"/>
      <c r="AF145" s="1087"/>
      <c r="AG145" s="1087"/>
      <c r="AH145" s="2817"/>
      <c r="AI145" s="1258"/>
      <c r="AJ145" s="2817"/>
      <c r="AK145" s="2817"/>
      <c r="AL145" s="2817"/>
    </row>
    <row r="146" spans="1:38" ht="10.95" customHeight="1" x14ac:dyDescent="0.35">
      <c r="A146" s="2821"/>
      <c r="B146" s="2822"/>
      <c r="C146" s="2823"/>
      <c r="D146" s="2824"/>
      <c r="E146" s="2802"/>
      <c r="F146" s="2241"/>
      <c r="G146" s="2826"/>
      <c r="H146" s="2823"/>
      <c r="I146" s="2824"/>
      <c r="J146" s="2258"/>
      <c r="K146" s="2821"/>
      <c r="L146" s="2828"/>
      <c r="M146" s="2821"/>
      <c r="N146" s="2807"/>
      <c r="O146" s="2807"/>
      <c r="P146" s="2807"/>
      <c r="Q146" s="2253"/>
      <c r="R146" s="2253"/>
      <c r="S146" s="3825"/>
      <c r="T146" s="1081"/>
      <c r="U146" s="3821" t="str">
        <f>IF( 'Val-Dép'!E56="439", VLOOKUP('Val-Dép'!E56,'Val-Dép'!E56:F56,2,FALSE),"0")</f>
        <v>0</v>
      </c>
      <c r="V146" s="3571" t="str">
        <f>IF( 'Val-Dép'!E72="550",VLOOKUP('Val-Dép'!E72,'Val-Dép'!E72:F72,2,FALSE),"0")</f>
        <v>0</v>
      </c>
      <c r="W146" s="1081">
        <v>5</v>
      </c>
      <c r="X146" s="1162"/>
      <c r="Y146" s="1081"/>
      <c r="Z146" s="3833" t="str">
        <f>IF( 'Val-Dép'!E72="560",VLOOKUP('Val-Dép'!E72,'Val-Dép'!E72:F72,2,FALSE ),"0")</f>
        <v>0</v>
      </c>
      <c r="AA146" s="3832"/>
      <c r="AB146" s="1081"/>
      <c r="AC146" s="1258"/>
      <c r="AD146" s="3648"/>
      <c r="AE146" s="1258"/>
      <c r="AH146" s="1258"/>
      <c r="AI146" s="1258"/>
      <c r="AJ146" s="1258"/>
      <c r="AK146" s="1258"/>
      <c r="AL146" s="1258"/>
    </row>
    <row r="147" spans="1:38" ht="10.95" customHeight="1" x14ac:dyDescent="0.35">
      <c r="A147" s="2803"/>
      <c r="B147" s="2800"/>
      <c r="C147" s="4041" t="s">
        <v>2350</v>
      </c>
      <c r="D147" s="4041"/>
      <c r="E147" s="2802"/>
      <c r="F147" s="1126"/>
      <c r="G147" s="2257"/>
      <c r="H147" s="4041" t="s">
        <v>2351</v>
      </c>
      <c r="I147" s="4042"/>
      <c r="J147" s="2258"/>
      <c r="K147" s="2803"/>
      <c r="L147" s="2803"/>
      <c r="M147" s="4051" t="s">
        <v>2352</v>
      </c>
      <c r="N147" s="4051"/>
      <c r="Q147" s="2253"/>
      <c r="R147" s="2253"/>
      <c r="S147" s="3649"/>
      <c r="T147" s="1081"/>
      <c r="U147" s="3821" t="str">
        <f>IF( 'Val-Dép'!E57="439", VLOOKUP('Val-Dép'!E57,'Val-Dép'!E57:F57,2,FALSE),"0")</f>
        <v>0</v>
      </c>
      <c r="V147" s="3571" t="str">
        <f>IF( 'Val-Dép'!E73="550",VLOOKUP('Val-Dép'!E73,'Val-Dép'!E73:F73,2,FALSE),"0")</f>
        <v>0</v>
      </c>
      <c r="W147" s="1081"/>
      <c r="X147" s="1162"/>
      <c r="Y147" s="1081"/>
      <c r="Z147" s="3833" t="str">
        <f>IF( 'Val-Dép'!E73="560",VLOOKUP('Val-Dép'!E73,'Val-Dép'!E73:F73,2,FALSE ),"0")</f>
        <v>0</v>
      </c>
      <c r="AA147" s="3832"/>
      <c r="AB147" s="1081"/>
      <c r="AC147" s="1258"/>
      <c r="AD147" s="3648"/>
      <c r="AE147" s="1258"/>
      <c r="AH147" s="1258"/>
      <c r="AI147" s="1258"/>
      <c r="AJ147" s="1258"/>
      <c r="AK147" s="1258"/>
      <c r="AL147" s="1258"/>
    </row>
    <row r="148" spans="1:38" ht="10.95" customHeight="1" x14ac:dyDescent="0.35">
      <c r="A148" s="2803"/>
      <c r="B148" s="2800"/>
      <c r="C148" s="4053" t="s">
        <v>2348</v>
      </c>
      <c r="D148" s="4053"/>
      <c r="E148" s="2802"/>
      <c r="F148" s="1126"/>
      <c r="G148" s="2257"/>
      <c r="H148" s="4077" t="s">
        <v>2355</v>
      </c>
      <c r="I148" s="4077"/>
      <c r="J148" s="2258"/>
      <c r="K148" s="2803"/>
      <c r="L148" s="2803"/>
      <c r="M148" s="4052" t="s">
        <v>2358</v>
      </c>
      <c r="N148" s="4052"/>
      <c r="Q148" s="2253"/>
      <c r="R148" s="2253"/>
      <c r="S148" s="3649"/>
      <c r="T148" s="1081"/>
      <c r="U148" s="3821" t="str">
        <f>IF( 'Val-Dép'!E58="439", VLOOKUP('Val-Dép'!E58,'Val-Dép'!E58:F58,2,FALSE),"0")</f>
        <v>0</v>
      </c>
      <c r="V148" s="3571" t="str">
        <f>IF( 'Val-Dép'!E74="550",VLOOKUP('Val-Dép'!E74,'Val-Dép'!E74:F74,2,FALSE),"0")</f>
        <v>0</v>
      </c>
      <c r="W148" s="1081"/>
      <c r="X148" s="1162"/>
      <c r="Y148" s="1081"/>
      <c r="Z148" s="3833" t="str">
        <f>IF( 'Val-Dép'!E74="560",VLOOKUP('Val-Dép'!E74,'Val-Dép'!E74:F74,2,FALSE ),"0")</f>
        <v>0</v>
      </c>
      <c r="AA148" s="3832"/>
      <c r="AB148" s="1081"/>
      <c r="AC148" s="1258"/>
      <c r="AD148" s="3648"/>
      <c r="AH148" s="1258"/>
      <c r="AI148" s="1258"/>
      <c r="AJ148" s="1258"/>
      <c r="AK148" s="1258"/>
      <c r="AL148" s="1258"/>
    </row>
    <row r="149" spans="1:38" ht="10.95" customHeight="1" x14ac:dyDescent="0.35">
      <c r="A149" s="2803"/>
      <c r="B149" s="2832" t="s">
        <v>203</v>
      </c>
      <c r="C149" s="3879">
        <f>$C$113</f>
        <v>25000</v>
      </c>
      <c r="D149" s="2830"/>
      <c r="E149" s="2802"/>
      <c r="F149" s="1126"/>
      <c r="G149" s="2257"/>
      <c r="H149" s="2833">
        <f>$H$113</f>
        <v>4800</v>
      </c>
      <c r="I149" s="2834"/>
      <c r="J149" s="2258"/>
      <c r="K149" s="2803"/>
      <c r="L149" s="2803"/>
      <c r="M149" s="2839">
        <f>$M$113</f>
        <v>900</v>
      </c>
      <c r="N149" s="2835"/>
      <c r="Q149" s="2253"/>
      <c r="R149" s="2253"/>
      <c r="S149" s="3649"/>
      <c r="T149" s="1081"/>
      <c r="U149" s="3821" t="str">
        <f>IF( 'Val-Dép'!E59="439", VLOOKUP('Val-Dép'!E59,'Val-Dép'!E59:F59,2,FALSE),"0")</f>
        <v>0</v>
      </c>
      <c r="V149" s="3571" t="str">
        <f>IF( 'Val-Dép'!E75="550",VLOOKUP('Val-Dép'!E75,'Val-Dép'!E75:F75,2,FALSE),"0")</f>
        <v>0</v>
      </c>
      <c r="W149" s="1081"/>
      <c r="X149" s="1162"/>
      <c r="Y149" s="1081"/>
      <c r="Z149" s="3833" t="str">
        <f>IF( 'Val-Dép'!E75="560",VLOOKUP('Val-Dép'!E75,'Val-Dép'!E75:F75,2,FALSE ),"0")</f>
        <v>0</v>
      </c>
      <c r="AA149" s="3832"/>
      <c r="AB149" s="1081"/>
      <c r="AC149" s="1081"/>
      <c r="AD149" s="1573"/>
      <c r="AH149" s="1258"/>
      <c r="AI149" s="1258"/>
      <c r="AJ149" s="1258"/>
      <c r="AK149" s="1258"/>
      <c r="AL149" s="1258"/>
    </row>
    <row r="150" spans="1:38" ht="10.95" customHeight="1" x14ac:dyDescent="0.35">
      <c r="A150" s="2803"/>
      <c r="B150" s="2800"/>
      <c r="C150" s="1421"/>
      <c r="D150" s="2801"/>
      <c r="E150" s="2802"/>
      <c r="F150" s="1126"/>
      <c r="G150" s="2257"/>
      <c r="H150" s="1421"/>
      <c r="I150" s="2801"/>
      <c r="J150" s="2258"/>
      <c r="K150" s="2803"/>
      <c r="L150" s="2803"/>
      <c r="M150" s="2803"/>
      <c r="Q150" s="2253"/>
      <c r="R150" s="2253"/>
      <c r="S150" s="3649"/>
      <c r="T150" s="1081"/>
      <c r="U150" s="3821" t="str">
        <f>IF( 'Val-Dép'!E60="439", VLOOKUP('Val-Dép'!E60,'Val-Dép'!E60:F60,2,FALSE),"0")</f>
        <v>0</v>
      </c>
      <c r="V150" s="3571" t="str">
        <f>IF( 'Val-Dép'!E76="550",VLOOKUP('Val-Dép'!E76,'Val-Dép'!E76:F76,2,FALSE),"0")</f>
        <v>0</v>
      </c>
      <c r="W150" s="1081"/>
      <c r="X150" s="1162"/>
      <c r="Y150" s="1081"/>
      <c r="Z150" s="3833" t="str">
        <f>IF( 'Val-Dép'!E76="560",VLOOKUP('Val-Dép'!E76,'Val-Dép'!E76:F76,2,FALSE ),"0")</f>
        <v>0</v>
      </c>
      <c r="AA150" s="3832"/>
      <c r="AB150" s="1081"/>
      <c r="AC150" s="1081"/>
      <c r="AD150" s="1573"/>
      <c r="AE150" s="1258"/>
      <c r="AF150" s="1258"/>
      <c r="AG150" s="1258"/>
      <c r="AH150" s="1258"/>
      <c r="AI150" s="1258"/>
      <c r="AJ150" s="1258"/>
      <c r="AK150" s="1258"/>
      <c r="AL150" s="1258"/>
    </row>
    <row r="151" spans="1:38" ht="10.95" customHeight="1" x14ac:dyDescent="0.35">
      <c r="A151" s="2803"/>
      <c r="B151" s="2800"/>
      <c r="C151" s="4041" t="s">
        <v>2354</v>
      </c>
      <c r="D151" s="4041"/>
      <c r="E151" s="2802"/>
      <c r="F151" s="1126"/>
      <c r="G151" s="2257"/>
      <c r="H151" s="4053" t="s">
        <v>2353</v>
      </c>
      <c r="I151" s="4053"/>
      <c r="J151" s="2258"/>
      <c r="K151" s="2803"/>
      <c r="L151" s="2803"/>
      <c r="M151" s="4051" t="s">
        <v>2352</v>
      </c>
      <c r="N151" s="4051"/>
      <c r="Q151" s="2253"/>
      <c r="R151" s="2253"/>
      <c r="S151" s="3649"/>
      <c r="T151" s="1081"/>
      <c r="U151" s="3821" t="str">
        <f>IF( 'Val-Dép'!E61="439", VLOOKUP('Val-Dép'!E61,'Val-Dép'!E61:F61,2,FALSE),"0")</f>
        <v>0</v>
      </c>
      <c r="V151" s="3571" t="str">
        <f>IF( 'Val-Dép'!E77="550",VLOOKUP('Val-Dép'!E77,'Val-Dép'!E77:F77,2,FALSE),"0")</f>
        <v>0</v>
      </c>
      <c r="W151" s="1081"/>
      <c r="X151" s="1162"/>
      <c r="Y151" s="1081"/>
      <c r="Z151" s="3833" t="str">
        <f>IF( 'Val-Dép'!E77="560",VLOOKUP('Val-Dép'!E77,'Val-Dép'!E77:F77,2,FALSE ),"0")</f>
        <v>0</v>
      </c>
      <c r="AA151" s="3832"/>
      <c r="AB151" s="1081"/>
      <c r="AC151" s="1258"/>
      <c r="AD151" s="3648"/>
      <c r="AE151" s="1258"/>
      <c r="AF151" s="1258"/>
      <c r="AG151" s="1258"/>
      <c r="AH151" s="1258"/>
      <c r="AI151" s="1258"/>
      <c r="AJ151" s="1258"/>
      <c r="AK151" s="1258"/>
      <c r="AL151" s="1258"/>
    </row>
    <row r="152" spans="1:38" ht="10.95" customHeight="1" thickBot="1" x14ac:dyDescent="0.4">
      <c r="A152" s="2803"/>
      <c r="B152" s="2800"/>
      <c r="C152" s="4053" t="s">
        <v>2349</v>
      </c>
      <c r="D152" s="4053"/>
      <c r="E152" s="2802"/>
      <c r="F152" s="1126"/>
      <c r="G152" s="2257"/>
      <c r="H152" s="4054" t="s">
        <v>2347</v>
      </c>
      <c r="I152" s="4054"/>
      <c r="J152" s="2258"/>
      <c r="K152" s="2803"/>
      <c r="L152" s="2803"/>
      <c r="M152" s="4052" t="s">
        <v>2359</v>
      </c>
      <c r="N152" s="4052"/>
      <c r="Q152" s="2253"/>
      <c r="R152" s="2253"/>
      <c r="S152" s="3649"/>
      <c r="T152" s="1261"/>
      <c r="U152" s="3821">
        <f>IF( 'Val-Dép'!E62="439", VLOOKUP('Val-Dép'!E62,'Val-Dép'!E62:F62,2,FALSE),"0")</f>
        <v>0</v>
      </c>
      <c r="V152" s="3571" t="str">
        <f>IF( 'Val-Dép'!E78="550",VLOOKUP('Val-Dép'!E78,'Val-Dép'!E78:F78,2,FALSE),"0")</f>
        <v>0</v>
      </c>
      <c r="W152" s="1261"/>
      <c r="X152" s="1162"/>
      <c r="Y152" s="1262"/>
      <c r="Z152" s="3833" t="str">
        <f>IF( 'Val-Dép'!E78="560",VLOOKUP('Val-Dép'!E78,'Val-Dép'!E78:F78,2,FALSE ),"0")</f>
        <v>0</v>
      </c>
      <c r="AA152" s="3832"/>
      <c r="AB152" s="1262"/>
      <c r="AC152" s="1258"/>
      <c r="AD152" s="3648"/>
      <c r="AE152" s="1258"/>
      <c r="AF152" s="1258"/>
      <c r="AG152" s="1258"/>
      <c r="AH152" s="1258"/>
      <c r="AI152" s="1258"/>
      <c r="AJ152" s="1258"/>
      <c r="AK152" s="1258"/>
      <c r="AL152" s="1258"/>
    </row>
    <row r="153" spans="1:38" ht="10.95" customHeight="1" thickBot="1" x14ac:dyDescent="0.4">
      <c r="A153" s="2803"/>
      <c r="B153" s="2832" t="s">
        <v>203</v>
      </c>
      <c r="C153" s="3880">
        <f>$C$145</f>
        <v>10</v>
      </c>
      <c r="D153" s="2829"/>
      <c r="E153" s="2802"/>
      <c r="F153" s="1126"/>
      <c r="G153" s="2257"/>
      <c r="H153" s="2833">
        <f>$H$145</f>
        <v>0</v>
      </c>
      <c r="I153" s="2834"/>
      <c r="J153" s="2258"/>
      <c r="K153" s="2803"/>
      <c r="L153" s="2803"/>
      <c r="M153" s="2845">
        <f>$M$145</f>
        <v>0</v>
      </c>
      <c r="N153" s="2835"/>
      <c r="Q153" s="2253"/>
      <c r="R153" s="2253"/>
      <c r="S153" s="3826"/>
      <c r="T153" s="1582" t="s">
        <v>186</v>
      </c>
      <c r="U153" s="1687"/>
      <c r="V153" s="3653"/>
      <c r="W153" s="1582" t="s">
        <v>185</v>
      </c>
      <c r="X153" s="1584"/>
      <c r="Y153" s="3654" t="s">
        <v>203</v>
      </c>
      <c r="Z153" s="3653">
        <f>U153-V153</f>
        <v>0</v>
      </c>
      <c r="AA153" s="2748"/>
      <c r="AB153" s="1582"/>
      <c r="AC153" s="1258"/>
      <c r="AD153" s="3648"/>
      <c r="AE153" s="4087"/>
      <c r="AF153" s="4087"/>
      <c r="AG153" s="1258"/>
      <c r="AH153" s="1258"/>
      <c r="AI153" s="1258"/>
      <c r="AJ153" s="1258"/>
      <c r="AK153" s="1258"/>
      <c r="AL153" s="1258"/>
    </row>
    <row r="154" spans="1:38" ht="10.95" customHeight="1" thickTop="1" thickBot="1" x14ac:dyDescent="0.4">
      <c r="A154" s="2803"/>
      <c r="B154" s="2832"/>
      <c r="C154" s="1421"/>
      <c r="D154" s="2801"/>
      <c r="E154" s="2802"/>
      <c r="F154" s="1126"/>
      <c r="G154" s="2257"/>
      <c r="H154" s="1421"/>
      <c r="I154" s="2801"/>
      <c r="J154" s="2258"/>
      <c r="K154" s="2803"/>
      <c r="L154" s="2803"/>
      <c r="M154" s="2803"/>
      <c r="Q154" s="2253"/>
      <c r="R154" s="2253"/>
      <c r="S154" s="3827"/>
      <c r="T154" s="3828"/>
      <c r="U154" s="3829"/>
      <c r="V154" s="3828"/>
      <c r="W154" s="3828"/>
      <c r="X154" s="3828"/>
      <c r="Y154" s="3828"/>
      <c r="Z154" s="4068"/>
      <c r="AA154" s="4068"/>
      <c r="AB154" s="3828"/>
      <c r="AC154" s="3828"/>
      <c r="AD154" s="3830"/>
      <c r="AE154" s="2471"/>
      <c r="AF154" s="1421"/>
      <c r="AG154" s="1258"/>
      <c r="AH154" s="1258"/>
      <c r="AI154" s="2817"/>
      <c r="AJ154" s="1258"/>
      <c r="AK154" s="1258"/>
      <c r="AL154" s="1258"/>
    </row>
    <row r="155" spans="1:38" ht="10.95" customHeight="1" thickTop="1" x14ac:dyDescent="0.35">
      <c r="A155" s="2803"/>
      <c r="B155" s="2800"/>
      <c r="C155" s="4042" t="s">
        <v>169</v>
      </c>
      <c r="D155" s="4042"/>
      <c r="E155" s="2802"/>
      <c r="F155" s="1126"/>
      <c r="G155" s="2257"/>
      <c r="H155" s="4042" t="s">
        <v>2361</v>
      </c>
      <c r="I155" s="4042"/>
      <c r="J155" s="2258"/>
      <c r="K155" s="2803"/>
      <c r="L155" s="2803"/>
      <c r="M155" s="4051" t="s">
        <v>1647</v>
      </c>
      <c r="N155" s="4051"/>
      <c r="Q155" s="2253"/>
      <c r="R155" s="2253"/>
      <c r="S155" s="2254"/>
      <c r="T155" s="1258"/>
      <c r="U155" s="2245"/>
      <c r="V155" s="1258"/>
      <c r="W155" s="1258"/>
      <c r="X155" s="1258"/>
      <c r="Y155" s="1258"/>
      <c r="Z155" s="2471"/>
      <c r="AA155" s="1421"/>
      <c r="AB155" s="1258"/>
      <c r="AC155" s="1258"/>
      <c r="AD155" s="1258"/>
      <c r="AE155" s="1258"/>
      <c r="AF155" s="1256"/>
      <c r="AG155" s="1258"/>
      <c r="AH155" s="2817"/>
      <c r="AI155" s="2817"/>
      <c r="AJ155" s="1258"/>
      <c r="AK155" s="1258"/>
      <c r="AL155" s="1258"/>
    </row>
    <row r="156" spans="1:38" ht="10.95" customHeight="1" x14ac:dyDescent="0.35">
      <c r="A156" s="2803"/>
      <c r="B156" s="2800"/>
      <c r="C156" s="4041" t="s">
        <v>2356</v>
      </c>
      <c r="D156" s="4041"/>
      <c r="E156" s="2802"/>
      <c r="F156" s="1126"/>
      <c r="G156" s="2257"/>
      <c r="H156" s="4041" t="s">
        <v>2357</v>
      </c>
      <c r="I156" s="4042"/>
      <c r="J156" s="2258"/>
      <c r="K156" s="2803"/>
      <c r="L156" s="2803"/>
      <c r="M156" s="4052" t="s">
        <v>2360</v>
      </c>
      <c r="N156" s="4052"/>
      <c r="Q156" s="4541"/>
      <c r="R156" s="2253"/>
      <c r="S156" s="2241"/>
      <c r="T156" s="1258"/>
      <c r="U156" s="2245"/>
      <c r="V156" s="1258"/>
      <c r="W156" s="1258"/>
      <c r="X156" s="1258"/>
      <c r="Y156" s="1258"/>
      <c r="Z156" s="1258"/>
      <c r="AA156" s="1256"/>
      <c r="AB156" s="1258"/>
      <c r="AC156" s="1258"/>
      <c r="AD156" s="1258"/>
      <c r="AE156" s="1258"/>
      <c r="AF156" s="1258"/>
      <c r="AG156" s="1258"/>
      <c r="AH156" s="2817"/>
      <c r="AI156" s="1258"/>
      <c r="AJ156" s="1258"/>
      <c r="AK156" s="1258"/>
      <c r="AL156" s="1258"/>
    </row>
    <row r="157" spans="1:38" ht="10.95" customHeight="1" x14ac:dyDescent="0.35">
      <c r="A157" s="2803"/>
      <c r="B157" s="2832" t="s">
        <v>203</v>
      </c>
      <c r="C157" s="3881">
        <f>(C149+C153)</f>
        <v>25010</v>
      </c>
      <c r="D157" s="2831"/>
      <c r="E157" s="2802"/>
      <c r="F157" s="1126"/>
      <c r="G157" s="2257"/>
      <c r="H157" s="2836">
        <f>SUM(H149,H153)</f>
        <v>4800</v>
      </c>
      <c r="I157" s="2837"/>
      <c r="J157" s="2258"/>
      <c r="K157" s="2803"/>
      <c r="L157" s="2803"/>
      <c r="M157" s="2844">
        <f>SUM(M149,M153)</f>
        <v>900</v>
      </c>
      <c r="N157" s="2838"/>
      <c r="Q157" s="2253"/>
      <c r="R157" s="2253"/>
      <c r="S157" s="2241"/>
      <c r="T157" s="1258"/>
      <c r="U157" s="2245"/>
      <c r="V157" s="1258"/>
      <c r="W157" s="1258"/>
      <c r="X157" s="1258"/>
      <c r="Y157" s="1258"/>
      <c r="Z157" s="1258"/>
      <c r="AA157" s="1258"/>
      <c r="AB157" s="1258"/>
      <c r="AC157" s="1258"/>
      <c r="AD157" s="1258"/>
      <c r="AE157" s="2246"/>
      <c r="AF157" s="2247"/>
      <c r="AG157" s="1258"/>
      <c r="AH157" s="1258"/>
      <c r="AI157" s="1258"/>
      <c r="AJ157" s="1258"/>
      <c r="AK157" s="1258"/>
      <c r="AL157" s="1258"/>
    </row>
    <row r="158" spans="1:38" ht="10.95" customHeight="1" x14ac:dyDescent="0.35">
      <c r="A158" s="2803"/>
      <c r="B158" s="2800"/>
      <c r="C158" s="1421"/>
      <c r="D158" s="2801"/>
      <c r="E158" s="2802"/>
      <c r="F158" s="1126"/>
      <c r="G158" s="2257"/>
      <c r="H158" s="1421"/>
      <c r="I158" s="2801"/>
      <c r="J158" s="2258"/>
      <c r="K158" s="2803"/>
      <c r="L158" s="2803"/>
      <c r="M158" s="2803"/>
      <c r="Q158" s="4541"/>
      <c r="R158" s="2253"/>
      <c r="S158" s="2254"/>
      <c r="T158" s="1258"/>
      <c r="U158" s="2245"/>
      <c r="V158" s="1258"/>
      <c r="W158" s="1258"/>
      <c r="X158" s="1258"/>
      <c r="Y158" s="1258"/>
      <c r="Z158" s="2246"/>
      <c r="AA158" s="2247"/>
      <c r="AB158" s="1258"/>
      <c r="AC158" s="1258"/>
      <c r="AD158" s="1258"/>
      <c r="AE158" s="2819"/>
      <c r="AF158" s="2819"/>
      <c r="AG158" s="2817"/>
      <c r="AH158" s="1258"/>
      <c r="AI158" s="1258"/>
      <c r="AJ158" s="1258"/>
      <c r="AK158" s="1258"/>
      <c r="AL158" s="1258"/>
    </row>
    <row r="159" spans="1:38" ht="10.95" customHeight="1" x14ac:dyDescent="0.35">
      <c r="A159" s="2803"/>
      <c r="B159" s="2800"/>
      <c r="C159" s="1421"/>
      <c r="D159" s="2801"/>
      <c r="E159" s="2802"/>
      <c r="F159" s="1126"/>
      <c r="G159" s="2257"/>
      <c r="H159" s="1421"/>
      <c r="I159" s="2801"/>
      <c r="J159" s="2258"/>
      <c r="K159" s="2803"/>
      <c r="L159" s="2803"/>
      <c r="M159" s="2803"/>
      <c r="Q159" s="2253"/>
      <c r="R159" s="2254"/>
      <c r="S159" s="2254"/>
      <c r="T159" s="2817"/>
      <c r="U159" s="2818"/>
      <c r="V159" s="2817"/>
      <c r="W159" s="2817"/>
      <c r="X159" s="2817"/>
      <c r="Y159" s="2817"/>
      <c r="Z159" s="2819"/>
      <c r="AA159" s="2819"/>
      <c r="AB159" s="2817"/>
      <c r="AC159" s="2817"/>
      <c r="AD159" s="2817"/>
      <c r="AE159" s="1256"/>
      <c r="AF159" s="1256"/>
      <c r="AG159" s="1258"/>
      <c r="AH159" s="1258"/>
      <c r="AI159" s="1258"/>
      <c r="AJ159" s="1258"/>
      <c r="AK159" s="1258"/>
      <c r="AL159" s="1258"/>
    </row>
    <row r="160" spans="1:38" ht="14.1" customHeight="1" x14ac:dyDescent="0.25">
      <c r="B160" s="2800"/>
      <c r="C160" s="1421"/>
      <c r="D160" s="2801"/>
      <c r="E160" s="2802"/>
      <c r="F160" s="1126"/>
      <c r="G160" s="2257"/>
      <c r="H160" s="1421"/>
      <c r="I160" s="2801"/>
      <c r="J160" s="2258"/>
      <c r="K160" s="2803"/>
      <c r="L160" s="2803"/>
      <c r="M160" s="2803"/>
      <c r="N160" s="2803"/>
      <c r="O160" s="2803"/>
      <c r="Q160" s="2254"/>
      <c r="R160" s="2472"/>
      <c r="S160" s="2254"/>
      <c r="T160" s="1258"/>
      <c r="U160" s="2245"/>
      <c r="V160" s="1258"/>
      <c r="W160" s="1258"/>
      <c r="X160" s="1258"/>
      <c r="Y160" s="1258"/>
      <c r="Z160" s="1256"/>
      <c r="AA160" s="1256"/>
      <c r="AB160" s="1258"/>
      <c r="AC160" s="1258"/>
      <c r="AD160" s="1258"/>
      <c r="AE160" s="1256"/>
      <c r="AF160" s="1256"/>
      <c r="AG160" s="1258"/>
      <c r="AH160" s="1258"/>
      <c r="AI160" s="1258"/>
      <c r="AJ160" s="1258"/>
      <c r="AK160" s="1258"/>
      <c r="AL160" s="1258"/>
    </row>
    <row r="161" spans="1:38" ht="14.1" customHeight="1" x14ac:dyDescent="0.3">
      <c r="A161" s="1258"/>
      <c r="B161" s="4040" t="s">
        <v>2338</v>
      </c>
      <c r="C161" s="4040"/>
      <c r="D161" s="2795"/>
      <c r="E161" s="1415"/>
      <c r="F161" s="1258"/>
      <c r="G161" s="1258"/>
      <c r="H161" s="2795" t="s">
        <v>2338</v>
      </c>
      <c r="I161" s="2795"/>
      <c r="J161" s="1258"/>
      <c r="K161" s="1258"/>
      <c r="L161" s="4040" t="s">
        <v>2338</v>
      </c>
      <c r="M161" s="4040"/>
      <c r="N161" s="2243"/>
      <c r="O161" s="1389"/>
      <c r="Q161" s="2255"/>
      <c r="R161" s="2472"/>
      <c r="S161" s="2254"/>
      <c r="T161" s="1258"/>
      <c r="U161" s="2245"/>
      <c r="V161" s="1258"/>
      <c r="W161" s="1258"/>
      <c r="X161" s="1258"/>
      <c r="Y161" s="1258"/>
      <c r="Z161" s="1256"/>
      <c r="AA161" s="1256"/>
      <c r="AB161" s="1258"/>
      <c r="AC161" s="1258"/>
      <c r="AD161" s="1258"/>
      <c r="AE161" s="1256"/>
      <c r="AF161" s="1256"/>
      <c r="AG161" s="1258"/>
      <c r="AH161" s="1258"/>
      <c r="AI161" s="1258"/>
      <c r="AJ161" s="1258"/>
      <c r="AK161" s="1258"/>
      <c r="AL161" s="1258"/>
    </row>
    <row r="162" spans="1:38" ht="14.1" customHeight="1" x14ac:dyDescent="0.3">
      <c r="A162" s="1258"/>
      <c r="B162" s="2249"/>
      <c r="C162" s="2256" t="s">
        <v>1576</v>
      </c>
      <c r="D162" s="1258"/>
      <c r="E162" s="1415"/>
      <c r="F162" s="1258"/>
      <c r="G162" s="1258"/>
      <c r="H162" s="2796" t="s">
        <v>2286</v>
      </c>
      <c r="I162" s="1258"/>
      <c r="J162" s="1258"/>
      <c r="K162" s="1258"/>
      <c r="L162" s="1258"/>
      <c r="M162" s="2797" t="s">
        <v>1647</v>
      </c>
      <c r="N162" s="2243"/>
      <c r="O162" s="1389"/>
      <c r="P162" s="1389"/>
      <c r="Q162" s="2472"/>
      <c r="R162" s="2472"/>
      <c r="S162" s="2254"/>
      <c r="T162" s="1258"/>
      <c r="U162" s="2245"/>
      <c r="V162" s="1258"/>
      <c r="W162" s="1258"/>
      <c r="X162" s="1258"/>
      <c r="Y162" s="1258"/>
      <c r="Z162" s="1256"/>
      <c r="AA162" s="1256"/>
      <c r="AB162" s="1258"/>
      <c r="AC162" s="1258"/>
      <c r="AD162" s="1258"/>
      <c r="AE162" s="1256"/>
      <c r="AF162" s="1256"/>
      <c r="AG162" s="1258"/>
      <c r="AH162" s="1258"/>
      <c r="AI162" s="1258"/>
      <c r="AJ162" s="1258"/>
      <c r="AK162" s="1258"/>
      <c r="AL162" s="1258"/>
    </row>
    <row r="163" spans="1:38" ht="14.1" customHeight="1" x14ac:dyDescent="0.3">
      <c r="A163" s="1258"/>
      <c r="B163" s="2249"/>
      <c r="C163" s="2256"/>
      <c r="D163" s="1258"/>
      <c r="E163" s="1415"/>
      <c r="F163" s="1258"/>
      <c r="G163" s="1258"/>
      <c r="H163" s="2796"/>
      <c r="I163" s="1258"/>
      <c r="J163" s="1258"/>
      <c r="K163" s="1258"/>
      <c r="L163" s="1258"/>
      <c r="M163" s="2797"/>
      <c r="N163" s="2243"/>
      <c r="O163" s="1389"/>
      <c r="P163" s="1389"/>
      <c r="Q163" s="2472"/>
      <c r="R163" s="2472"/>
      <c r="S163" s="2254"/>
      <c r="T163" s="1258"/>
      <c r="U163" s="2245"/>
      <c r="V163" s="1258"/>
      <c r="W163" s="1258"/>
      <c r="X163" s="1258"/>
      <c r="Y163" s="1258"/>
      <c r="Z163" s="1256"/>
      <c r="AA163" s="1256"/>
      <c r="AB163" s="1258"/>
      <c r="AC163" s="1258"/>
      <c r="AD163" s="1258"/>
      <c r="AE163" s="1256"/>
      <c r="AF163" s="1256"/>
      <c r="AG163" s="1258"/>
      <c r="AH163" s="1258"/>
      <c r="AI163" s="1258"/>
      <c r="AJ163" s="1258"/>
      <c r="AK163" s="1258"/>
      <c r="AL163" s="1258"/>
    </row>
    <row r="164" spans="1:38" ht="14.1" customHeight="1" x14ac:dyDescent="0.3">
      <c r="A164" s="1258"/>
      <c r="B164" s="2249"/>
      <c r="C164" s="1290" t="s">
        <v>212</v>
      </c>
      <c r="D164" s="1258"/>
      <c r="E164" s="1415"/>
      <c r="F164" s="1258"/>
      <c r="H164" s="1526"/>
      <c r="I164" s="1081"/>
      <c r="K164" s="1258"/>
      <c r="L164" s="1258"/>
      <c r="M164" s="2243"/>
      <c r="N164" s="2243"/>
      <c r="O164" s="1389"/>
      <c r="P164" s="1389"/>
      <c r="Q164" s="2472"/>
      <c r="R164" s="2254"/>
      <c r="S164" s="2254"/>
      <c r="T164" s="1258"/>
      <c r="U164" s="2245"/>
      <c r="V164" s="1258"/>
      <c r="W164" s="1258"/>
      <c r="X164" s="1258"/>
      <c r="Y164" s="1258"/>
      <c r="Z164" s="1256"/>
      <c r="AA164" s="1256"/>
      <c r="AB164" s="1258"/>
      <c r="AC164" s="1258"/>
      <c r="AD164" s="1258"/>
      <c r="AE164" s="1256"/>
      <c r="AF164" s="1256"/>
      <c r="AG164" s="1258"/>
      <c r="AH164" s="1258"/>
      <c r="AI164" s="1258"/>
      <c r="AJ164" s="1258"/>
      <c r="AK164" s="1258"/>
      <c r="AL164" s="1258"/>
    </row>
    <row r="165" spans="1:38" ht="14.1" customHeight="1" x14ac:dyDescent="0.3">
      <c r="A165" s="1258"/>
      <c r="B165" s="2249"/>
      <c r="C165" s="1301" t="s">
        <v>4</v>
      </c>
      <c r="D165" s="1258"/>
      <c r="E165" s="1415"/>
      <c r="F165" s="1258"/>
      <c r="H165" s="2234" t="s">
        <v>2049</v>
      </c>
      <c r="I165" s="2234"/>
      <c r="K165" s="1258"/>
      <c r="L165" s="2257"/>
      <c r="M165" s="2244"/>
      <c r="N165" s="2244"/>
      <c r="O165" s="1258"/>
      <c r="P165" s="1389"/>
      <c r="Q165" s="2254"/>
      <c r="R165" s="2259"/>
      <c r="S165" s="2254"/>
      <c r="T165" s="1258"/>
      <c r="U165" s="2245"/>
      <c r="V165" s="1258"/>
      <c r="W165" s="1258"/>
      <c r="X165" s="1258"/>
      <c r="Y165" s="1258"/>
      <c r="Z165" s="1256"/>
      <c r="AA165" s="1256"/>
      <c r="AB165" s="1258"/>
      <c r="AC165" s="1258"/>
      <c r="AD165" s="1258"/>
      <c r="AE165" s="1256"/>
      <c r="AF165" s="1256"/>
      <c r="AG165" s="1258"/>
      <c r="AH165" s="1258"/>
      <c r="AI165" s="1258"/>
      <c r="AJ165" s="1258"/>
      <c r="AK165" s="1258"/>
      <c r="AL165" s="1258"/>
    </row>
    <row r="166" spans="1:38" ht="14.1" customHeight="1" thickBot="1" x14ac:dyDescent="0.4">
      <c r="A166" s="1258"/>
      <c r="B166" s="2249"/>
      <c r="C166" s="1311" t="str">
        <f>IF(( 'Val-Dép'!I35&lt;&gt;"note de crédit" ),"0",VLOOKUP('Val-Dép'!I35,'Val-Dép'!I35:AL35,21,FALSE ))</f>
        <v>0</v>
      </c>
      <c r="D166" s="1258"/>
      <c r="E166" s="1415"/>
      <c r="F166" s="1258"/>
      <c r="G166" s="1180" t="s">
        <v>186</v>
      </c>
      <c r="H166" s="1474">
        <v>4110</v>
      </c>
      <c r="I166" s="1643" t="s">
        <v>218</v>
      </c>
      <c r="J166" s="1183" t="s">
        <v>185</v>
      </c>
      <c r="K166" s="1258"/>
      <c r="L166" s="1651" t="s">
        <v>186</v>
      </c>
      <c r="M166" s="1498">
        <v>486</v>
      </c>
      <c r="N166" s="1652" t="s">
        <v>2047</v>
      </c>
      <c r="O166" s="1183" t="s">
        <v>193</v>
      </c>
      <c r="P166" s="1258"/>
      <c r="Q166" s="2259"/>
      <c r="R166" s="2254"/>
      <c r="S166" s="2254"/>
      <c r="T166" s="2253"/>
      <c r="U166" s="2245"/>
      <c r="V166" s="1258"/>
      <c r="W166" s="1258"/>
      <c r="X166" s="1258"/>
      <c r="Y166" s="1258"/>
      <c r="Z166" s="1256"/>
      <c r="AA166" s="1256"/>
      <c r="AB166" s="1258"/>
      <c r="AC166" s="1258"/>
      <c r="AD166" s="1258"/>
      <c r="AE166" s="1256"/>
      <c r="AF166" s="1256"/>
      <c r="AG166" s="1258"/>
      <c r="AH166" s="1258"/>
      <c r="AI166" s="1258"/>
      <c r="AJ166" s="1258"/>
      <c r="AK166" s="1258"/>
      <c r="AL166" s="1258"/>
    </row>
    <row r="167" spans="1:38" ht="14.1" customHeight="1" x14ac:dyDescent="0.3">
      <c r="A167" s="1258"/>
      <c r="B167" s="2249"/>
      <c r="C167" s="1311" t="str">
        <f>IF(( 'Val-Dép'!I36&lt;&gt;"note de crédit" ),"0",VLOOKUP('Val-Dép'!I36,'Val-Dép'!I36:AL36,21,FALSE ))</f>
        <v>0</v>
      </c>
      <c r="D167" s="1258"/>
      <c r="E167" s="1415"/>
      <c r="F167" s="1258"/>
      <c r="G167" s="1087">
        <v>35</v>
      </c>
      <c r="H167" s="1645">
        <f>IF(('Val-Dép'!I35="Mobilier"),VLOOKUP('Val-Dép'!I35,'Val-Dép'!I35:Z35,18,FALSE),"")</f>
        <v>0</v>
      </c>
      <c r="I167" s="1598"/>
      <c r="K167" s="1258"/>
      <c r="M167" s="1653"/>
      <c r="N167" s="1603">
        <f>IF(ISNA(VLOOKUP($N$166,'Val-Dép'!I13:Y13,13,FALSE)),,VLOOKUP($N$166,'Val-Dép'!I13:Y13,13,FALSE))</f>
        <v>0</v>
      </c>
      <c r="O167" s="1601">
        <v>13</v>
      </c>
      <c r="P167" s="2258"/>
      <c r="Q167" s="2254"/>
      <c r="R167" s="2479"/>
      <c r="S167" s="2254"/>
      <c r="T167" s="2254"/>
      <c r="U167" s="2245"/>
      <c r="V167" s="1258"/>
      <c r="W167" s="1258"/>
      <c r="X167" s="1258"/>
      <c r="Y167" s="1258"/>
      <c r="Z167" s="1256"/>
      <c r="AA167" s="1256"/>
      <c r="AB167" s="1258"/>
      <c r="AC167" s="1258"/>
      <c r="AD167" s="1258"/>
      <c r="AE167" s="1256"/>
      <c r="AF167" s="1256"/>
      <c r="AG167" s="1258"/>
      <c r="AH167" s="1258"/>
      <c r="AI167" s="1258"/>
      <c r="AJ167" s="1258"/>
      <c r="AK167" s="1258"/>
      <c r="AL167" s="1258"/>
    </row>
    <row r="168" spans="1:38" ht="14.1" customHeight="1" x14ac:dyDescent="0.3">
      <c r="A168" s="1258"/>
      <c r="B168" s="2249"/>
      <c r="C168" s="1311" t="str">
        <f>IF(( 'Val-Dép'!I37&lt;&gt;"note de crédit" ),"0",VLOOKUP('Val-Dép'!I37,'Val-Dép'!I37:AL37,21,FALSE ))</f>
        <v>0</v>
      </c>
      <c r="D168" s="1258"/>
      <c r="E168" s="1415"/>
      <c r="F168" s="1258"/>
      <c r="G168" s="1087">
        <v>36</v>
      </c>
      <c r="H168" s="1597" t="str">
        <f>IF(('Val-Dép'!I36="Mobilier"),VLOOKUP('Val-Dép'!I36,'Val-Dép'!I36:Z36,18,FALSE),"")</f>
        <v/>
      </c>
      <c r="I168" s="1605"/>
      <c r="K168" s="1258"/>
      <c r="M168" s="1611"/>
      <c r="N168" s="1608">
        <f>IF(ISNA(VLOOKUP($N$166,'Val-Dép'!I14:Y14,13,FALSE)),,VLOOKUP($N$166,'Val-Dép'!I14:Y14,13,FALSE))</f>
        <v>0</v>
      </c>
      <c r="O168" s="1601">
        <v>14</v>
      </c>
      <c r="P168" s="2258"/>
      <c r="Q168" s="2479"/>
      <c r="R168" s="2480"/>
      <c r="S168" s="2254"/>
      <c r="T168" s="2254"/>
      <c r="U168" s="2245"/>
      <c r="V168" s="1258"/>
      <c r="W168" s="1258"/>
      <c r="X168" s="1258"/>
      <c r="Y168" s="1258"/>
      <c r="Z168" s="1256"/>
      <c r="AA168" s="1256"/>
      <c r="AB168" s="1258"/>
      <c r="AC168" s="1258"/>
      <c r="AD168" s="1258"/>
      <c r="AE168" s="2819"/>
      <c r="AF168" s="2819"/>
      <c r="AG168" s="2817"/>
      <c r="AH168" s="1258"/>
      <c r="AI168" s="1258"/>
      <c r="AJ168" s="1258"/>
      <c r="AK168" s="1258"/>
      <c r="AL168" s="1258"/>
    </row>
    <row r="169" spans="1:38" ht="14.1" customHeight="1" x14ac:dyDescent="0.3">
      <c r="A169" s="1258"/>
      <c r="B169" s="2249"/>
      <c r="C169" s="1311" t="str">
        <f>IF(( 'Val-Dép'!I38&lt;&gt;"note de crédit" ),"0",VLOOKUP('Val-Dép'!I38,'Val-Dép'!I38:AL38,21,FALSE ))</f>
        <v>0</v>
      </c>
      <c r="D169" s="1258"/>
      <c r="E169" s="1415"/>
      <c r="F169" s="1258"/>
      <c r="G169" s="1087">
        <v>37</v>
      </c>
      <c r="H169" s="1597" t="str">
        <f>IF(('Val-Dép'!I37="Mobilier"),VLOOKUP('Val-Dép'!I37,'Val-Dép'!I37:Z37,18,FALSE),"")</f>
        <v/>
      </c>
      <c r="I169" s="1605"/>
      <c r="K169" s="1258"/>
      <c r="M169" s="1611"/>
      <c r="N169" s="1608">
        <f>IF(ISNA(VLOOKUP($N$166,'Val-Dép'!I15:Y15,13,FALSE)),,VLOOKUP($N$166,'Val-Dép'!I15:Y15,13,FALSE))</f>
        <v>0</v>
      </c>
      <c r="O169" s="1610">
        <v>15</v>
      </c>
      <c r="P169" s="2258"/>
      <c r="Q169" s="2480"/>
      <c r="R169" s="2481"/>
      <c r="S169" s="2254"/>
      <c r="T169" s="2241"/>
      <c r="U169" s="2818"/>
      <c r="V169" s="2817"/>
      <c r="W169" s="2817"/>
      <c r="X169" s="2817"/>
      <c r="Y169" s="2817"/>
      <c r="Z169" s="2819"/>
      <c r="AA169" s="2819"/>
      <c r="AB169" s="2817"/>
      <c r="AC169" s="2817"/>
      <c r="AD169" s="2817"/>
      <c r="AE169" s="2819"/>
      <c r="AF169" s="2819"/>
      <c r="AG169" s="2817"/>
      <c r="AH169" s="1258"/>
      <c r="AI169" s="1258"/>
      <c r="AJ169" s="1258"/>
      <c r="AK169" s="1258"/>
      <c r="AL169" s="1258"/>
    </row>
    <row r="170" spans="1:38" ht="14.1" customHeight="1" x14ac:dyDescent="0.3">
      <c r="A170" s="1258"/>
      <c r="B170" s="2249"/>
      <c r="C170" s="1311" t="str">
        <f>IF(( 'Val-Dép'!I39&lt;&gt;"note de crédit" ),"0",VLOOKUP('Val-Dép'!I39,'Val-Dép'!I39:AL39,21,FALSE ))</f>
        <v>0</v>
      </c>
      <c r="D170" s="1258"/>
      <c r="E170" s="1415"/>
      <c r="F170" s="1258"/>
      <c r="G170" s="1087">
        <v>38</v>
      </c>
      <c r="H170" s="1597" t="str">
        <f>IF(('Val-Dép'!I38="Mobilier"),VLOOKUP('Val-Dép'!I38,'Val-Dép'!I38:Z38,18,FALSE),"")</f>
        <v/>
      </c>
      <c r="I170" s="1605"/>
      <c r="K170" s="1258"/>
      <c r="M170" s="1611"/>
      <c r="N170" s="1608">
        <f>IF(ISNA(VLOOKUP($N$166,'Val-Dép'!I16:Y16,13,FALSE)),,VLOOKUP($N$166,'Val-Dép'!I16:Y16,13,FALSE))</f>
        <v>0</v>
      </c>
      <c r="O170" s="1610">
        <v>16</v>
      </c>
      <c r="P170" s="2258"/>
      <c r="Q170" s="2481"/>
      <c r="R170" s="1126"/>
      <c r="S170" s="2254"/>
      <c r="T170" s="2241"/>
      <c r="U170" s="2818"/>
      <c r="V170" s="2817"/>
      <c r="W170" s="2817"/>
      <c r="X170" s="2817"/>
      <c r="Y170" s="2817"/>
      <c r="Z170" s="2819"/>
      <c r="AA170" s="2819"/>
      <c r="AB170" s="2817"/>
      <c r="AC170" s="2817"/>
      <c r="AD170" s="2817"/>
      <c r="AE170" s="1256"/>
      <c r="AF170" s="1256"/>
      <c r="AG170" s="1258"/>
      <c r="AH170" s="1258"/>
      <c r="AI170" s="1258"/>
      <c r="AJ170" s="1258"/>
      <c r="AK170" s="1258"/>
      <c r="AL170" s="1258"/>
    </row>
    <row r="171" spans="1:38" ht="14.1" customHeight="1" x14ac:dyDescent="0.3">
      <c r="A171" s="1258"/>
      <c r="B171" s="2249"/>
      <c r="C171" s="1311" t="str">
        <f>IF(( 'Val-Dép'!I40&lt;&gt;"note de crédit" ),"0",VLOOKUP('Val-Dép'!I40,'Val-Dép'!I40:AL40,21,FALSE ))</f>
        <v>0</v>
      </c>
      <c r="D171" s="1258"/>
      <c r="E171" s="1415"/>
      <c r="F171" s="1258"/>
      <c r="G171" s="1087">
        <v>39</v>
      </c>
      <c r="H171" s="1597" t="str">
        <f>IF(('Val-Dép'!I39="Mobilier"),VLOOKUP('Val-Dép'!I39,'Val-Dép'!I39:Z39,18,FALSE),"")</f>
        <v/>
      </c>
      <c r="I171" s="1605"/>
      <c r="K171" s="1258"/>
      <c r="M171" s="1611"/>
      <c r="N171" s="1608">
        <f>IF(ISNA(VLOOKUP($N$166,'Val-Dép'!I17:Y17,13,FALSE)),,VLOOKUP($N$166,'Val-Dép'!I17:Y17,13,FALSE))</f>
        <v>0</v>
      </c>
      <c r="O171" s="1610">
        <v>17</v>
      </c>
      <c r="P171" s="2260"/>
      <c r="Q171" s="1126"/>
      <c r="R171" s="1126"/>
      <c r="S171" s="2254"/>
      <c r="T171" s="2254"/>
      <c r="U171" s="2245"/>
      <c r="V171" s="1258"/>
      <c r="W171" s="1258"/>
      <c r="X171" s="1258"/>
      <c r="Y171" s="1258"/>
      <c r="Z171" s="1256"/>
      <c r="AA171" s="1256"/>
      <c r="AB171" s="1258"/>
      <c r="AC171" s="1258"/>
      <c r="AD171" s="1258"/>
      <c r="AE171" s="1256"/>
      <c r="AF171" s="1256"/>
      <c r="AG171" s="1258"/>
      <c r="AH171" s="1258"/>
      <c r="AI171" s="1258"/>
      <c r="AJ171" s="1258"/>
      <c r="AK171" s="1258"/>
      <c r="AL171" s="1258"/>
    </row>
    <row r="172" spans="1:38" ht="14.1" customHeight="1" x14ac:dyDescent="0.3">
      <c r="A172" s="1258"/>
      <c r="B172" s="2249"/>
      <c r="C172" s="1311" t="str">
        <f>IF(( 'Val-Dép'!I41&lt;&gt;"note de crédit" ),"0",VLOOKUP('Val-Dép'!I41,'Val-Dép'!I41:AL41,21,FALSE ))</f>
        <v>0</v>
      </c>
      <c r="D172" s="1258"/>
      <c r="E172" s="1415"/>
      <c r="F172" s="1258"/>
      <c r="G172" s="1087">
        <v>40</v>
      </c>
      <c r="H172" s="1597" t="str">
        <f>IF(('Val-Dép'!I40="Mobilier"),VLOOKUP('Val-Dép'!I40,'Val-Dép'!I40:Z40,18,FALSE),"")</f>
        <v/>
      </c>
      <c r="I172" s="1605"/>
      <c r="K172" s="1258"/>
      <c r="M172" s="1611"/>
      <c r="N172" s="1608">
        <f>IF(ISNA(VLOOKUP($N$166,'Val-Dép'!I18:Y18,13,FALSE)),,VLOOKUP($N$166,'Val-Dép'!I18:Y18,13,FALSE))</f>
        <v>0</v>
      </c>
      <c r="O172" s="1610">
        <v>18</v>
      </c>
      <c r="P172" s="1258"/>
      <c r="Q172" s="1126"/>
      <c r="R172" s="1126"/>
      <c r="S172" s="2255"/>
      <c r="T172" s="2254"/>
      <c r="U172" s="2245"/>
      <c r="V172" s="1258"/>
      <c r="W172" s="1258"/>
      <c r="X172" s="1258"/>
      <c r="Y172" s="1258"/>
      <c r="Z172" s="1256"/>
      <c r="AA172" s="1256"/>
      <c r="AB172" s="1258"/>
      <c r="AC172" s="1258"/>
      <c r="AD172" s="1258"/>
      <c r="AE172" s="1256"/>
      <c r="AF172" s="1256"/>
      <c r="AG172" s="1258"/>
      <c r="AH172" s="1258"/>
      <c r="AI172" s="1258"/>
      <c r="AJ172" s="1258"/>
      <c r="AK172" s="1258"/>
      <c r="AL172" s="1258"/>
    </row>
    <row r="173" spans="1:38" ht="14.1" customHeight="1" x14ac:dyDescent="0.3">
      <c r="A173" s="1258"/>
      <c r="B173" s="2249"/>
      <c r="C173" s="1311" t="str">
        <f>IF(( 'Val-Dép'!I42&lt;&gt;"note de crédit" ),"0",VLOOKUP('Val-Dép'!I42,'Val-Dép'!I42:AL42,21,FALSE ))</f>
        <v>0</v>
      </c>
      <c r="D173" s="1258"/>
      <c r="E173" s="1415"/>
      <c r="F173" s="1258"/>
      <c r="G173" s="1087">
        <v>41</v>
      </c>
      <c r="H173" s="1597" t="str">
        <f>IF(('Val-Dép'!I41="Mobilier"),VLOOKUP('Val-Dép'!I41,'Val-Dép'!I41:Z41,18,FALSE),"")</f>
        <v/>
      </c>
      <c r="I173" s="1605"/>
      <c r="K173" s="1258"/>
      <c r="L173" s="1639"/>
      <c r="M173" s="1656"/>
      <c r="N173" s="1608">
        <f>IF(ISNA(VLOOKUP($N$166,'Val-Dép'!I19:Y19,13,FALSE)),,VLOOKUP($N$166,'Val-Dép'!I19:Y19,13,FALSE))</f>
        <v>0</v>
      </c>
      <c r="O173" s="1610">
        <v>19</v>
      </c>
      <c r="P173" s="1258"/>
      <c r="Q173" s="1126"/>
      <c r="R173" s="1126"/>
      <c r="S173" s="2472"/>
      <c r="T173" s="2254"/>
      <c r="U173" s="2245"/>
      <c r="V173" s="1258"/>
      <c r="W173" s="1258"/>
      <c r="X173" s="1258"/>
      <c r="Y173" s="1258"/>
      <c r="Z173" s="1256"/>
      <c r="AA173" s="1256"/>
      <c r="AB173" s="1258"/>
      <c r="AC173" s="1258"/>
      <c r="AD173" s="1258"/>
      <c r="AE173" s="1256"/>
      <c r="AF173" s="1256"/>
      <c r="AG173" s="1258"/>
      <c r="AH173" s="1258"/>
      <c r="AI173" s="1258"/>
      <c r="AJ173" s="1258"/>
      <c r="AK173" s="1258"/>
      <c r="AL173" s="1258"/>
    </row>
    <row r="174" spans="1:38" ht="14.1" customHeight="1" x14ac:dyDescent="0.3">
      <c r="A174" s="1258"/>
      <c r="B174" s="2249"/>
      <c r="C174" s="1311" t="str">
        <f>IF(( 'Val-Dép'!I43&lt;&gt;"note de crédit" ),"0",VLOOKUP('Val-Dép'!I43,'Val-Dép'!I43:AL43,21,FALSE ))</f>
        <v>0</v>
      </c>
      <c r="D174" s="1258"/>
      <c r="E174" s="1415"/>
      <c r="F174" s="1258"/>
      <c r="G174" s="1087">
        <v>42</v>
      </c>
      <c r="H174" s="1597" t="str">
        <f>IF(('Val-Dép'!I42="Mobilier"),VLOOKUP('Val-Dép'!I42,'Val-Dép'!I42:Z42,18,FALSE),"")</f>
        <v/>
      </c>
      <c r="I174" s="1605"/>
      <c r="K174" s="1258"/>
      <c r="L174" s="1499"/>
      <c r="M174" s="1657"/>
      <c r="N174" s="1608">
        <f>IF(ISNA(VLOOKUP($N$166,'Val-Dép'!I20:Y20,13,FALSE)),,VLOOKUP($N$166,'Val-Dép'!I20:Y20,13,FALSE))</f>
        <v>0</v>
      </c>
      <c r="O174" s="1610">
        <v>20</v>
      </c>
      <c r="P174" s="1258"/>
      <c r="Q174" s="1126"/>
      <c r="R174" s="1126"/>
      <c r="S174" s="2472"/>
      <c r="T174" s="2254"/>
      <c r="U174" s="2245"/>
      <c r="V174" s="1258"/>
      <c r="W174" s="1258"/>
      <c r="X174" s="1258"/>
      <c r="Y174" s="1258"/>
      <c r="Z174" s="1256"/>
      <c r="AA174" s="1256"/>
      <c r="AB174" s="1258"/>
      <c r="AC174" s="1258"/>
      <c r="AD174" s="1258"/>
      <c r="AE174" s="1256"/>
      <c r="AF174" s="1256"/>
      <c r="AG174" s="1258"/>
      <c r="AH174" s="1258"/>
      <c r="AI174" s="1258"/>
      <c r="AJ174" s="1258"/>
      <c r="AK174" s="1258"/>
      <c r="AL174" s="1258"/>
    </row>
    <row r="175" spans="1:38" ht="14.1" customHeight="1" x14ac:dyDescent="0.3">
      <c r="A175" s="1258"/>
      <c r="B175" s="1319"/>
      <c r="C175" s="1311" t="str">
        <f>IF(( 'Val-Dép'!I44&lt;&gt;"note de crédit" ),"0",VLOOKUP('Val-Dép'!I44,'Val-Dép'!I44:AL44,21,FALSE ))</f>
        <v>0</v>
      </c>
      <c r="D175" s="1258"/>
      <c r="E175" s="1415"/>
      <c r="F175" s="1258"/>
      <c r="G175" s="1087">
        <v>43</v>
      </c>
      <c r="H175" s="1597" t="str">
        <f>IF(('Val-Dép'!I43="Mobilier"),VLOOKUP('Val-Dép'!I43,'Val-Dép'!I43:Z43,18,FALSE),"")</f>
        <v/>
      </c>
      <c r="I175" s="1605"/>
      <c r="K175" s="1258"/>
      <c r="L175" s="1499"/>
      <c r="M175" s="1657"/>
      <c r="N175" s="1608">
        <f>IF(ISNA(VLOOKUP($N$166,'Val-Dép'!I21:Y21,13,FALSE)),,VLOOKUP($N$166,'Val-Dép'!I21:Y21,13,FALSE))</f>
        <v>0</v>
      </c>
      <c r="O175" s="1610">
        <v>21</v>
      </c>
      <c r="P175" s="1258"/>
      <c r="Q175" s="1126"/>
      <c r="R175" s="1126"/>
      <c r="S175" s="2472"/>
      <c r="T175" s="2254"/>
      <c r="U175" s="2245"/>
      <c r="V175" s="1258"/>
      <c r="W175" s="1258"/>
      <c r="X175" s="1258"/>
      <c r="Y175" s="1258"/>
      <c r="Z175" s="1256"/>
      <c r="AA175" s="1256"/>
      <c r="AB175" s="1258"/>
      <c r="AC175" s="1258"/>
      <c r="AD175" s="1258"/>
      <c r="AE175" s="1256"/>
      <c r="AF175" s="1256"/>
      <c r="AG175" s="1258"/>
      <c r="AH175" s="1258"/>
      <c r="AI175" s="1258"/>
      <c r="AJ175" s="1258"/>
      <c r="AK175" s="1258"/>
      <c r="AL175" s="1258"/>
    </row>
    <row r="176" spans="1:38" ht="14.1" customHeight="1" x14ac:dyDescent="0.3">
      <c r="A176" s="1258"/>
      <c r="B176" s="1213"/>
      <c r="C176" s="1311" t="str">
        <f>IF(( 'Val-Dép'!I45&lt;&gt;"note de crédit" ),"0",VLOOKUP('Val-Dép'!I45,'Val-Dép'!I45:AL45,21,FALSE ))</f>
        <v>0</v>
      </c>
      <c r="D176" s="1258"/>
      <c r="E176" s="1415"/>
      <c r="F176" s="1258"/>
      <c r="G176" s="1087">
        <v>44</v>
      </c>
      <c r="H176" s="1597" t="str">
        <f>IF(('Val-Dép'!I44="Mobilier"),VLOOKUP('Val-Dép'!I44,'Val-Dép'!I44:Z44,18,FALSE),"")</f>
        <v/>
      </c>
      <c r="I176" s="1605"/>
      <c r="K176" s="1258"/>
      <c r="L176" s="1499"/>
      <c r="M176" s="1657"/>
      <c r="N176" s="1608">
        <f>IF(ISNA(VLOOKUP($N$166,'Val-Dép'!I22:Y22,13,FALSE)),,VLOOKUP($N$166,'Val-Dép'!I22:Y22,13,FALSE))</f>
        <v>0</v>
      </c>
      <c r="O176" s="1610">
        <v>22</v>
      </c>
      <c r="P176" s="1258"/>
      <c r="Q176" s="1126"/>
      <c r="R176" s="2262"/>
      <c r="S176" s="2254"/>
      <c r="T176" s="2254"/>
      <c r="U176" s="2245"/>
      <c r="V176" s="1258"/>
      <c r="W176" s="1258"/>
      <c r="X176" s="1258"/>
      <c r="Y176" s="1258"/>
      <c r="Z176" s="1256"/>
      <c r="AA176" s="1256"/>
      <c r="AB176" s="1258"/>
      <c r="AC176" s="1258"/>
      <c r="AD176" s="1258"/>
      <c r="AE176" s="1256"/>
      <c r="AF176" s="1256"/>
      <c r="AG176" s="1258"/>
      <c r="AH176" s="1258"/>
      <c r="AI176" s="1258"/>
      <c r="AJ176" s="1258"/>
      <c r="AK176" s="1258"/>
      <c r="AL176" s="1258"/>
    </row>
    <row r="177" spans="1:38" ht="14.1" customHeight="1" thickBot="1" x14ac:dyDescent="0.35">
      <c r="A177" s="1258"/>
      <c r="B177" s="1258"/>
      <c r="D177" s="1258"/>
      <c r="E177" s="1415"/>
      <c r="F177" s="1258"/>
      <c r="G177" s="1087">
        <v>45</v>
      </c>
      <c r="H177" s="1648" t="str">
        <f>IF(('Val-Dép'!I45="Mobilier"),VLOOKUP('Val-Dép'!I45,'Val-Dép'!I45:Z45,18,FALSE),"")</f>
        <v/>
      </c>
      <c r="I177" s="1638"/>
      <c r="K177" s="1258"/>
      <c r="L177" s="1499"/>
      <c r="M177" s="1661"/>
      <c r="N177" s="1628">
        <f>IF(ISNA(VLOOKUP($N$166,'Val-Dép'!I23:Y23,13,FALSE)),,VLOOKUP($N$166,'Val-Dép'!I23:Y23,13,FALSE))</f>
        <v>0</v>
      </c>
      <c r="O177" s="1610">
        <v>23</v>
      </c>
      <c r="P177" s="1258"/>
      <c r="Q177" s="2262"/>
      <c r="R177" s="1126"/>
      <c r="S177" s="1258"/>
      <c r="T177" s="2254"/>
      <c r="U177" s="2245"/>
      <c r="V177" s="1258"/>
      <c r="W177" s="1258"/>
      <c r="X177" s="1258"/>
      <c r="Y177" s="1258"/>
      <c r="Z177" s="1256"/>
      <c r="AA177" s="1256"/>
      <c r="AB177" s="1258"/>
      <c r="AC177" s="1258"/>
      <c r="AD177" s="1258"/>
      <c r="AE177" s="1256"/>
      <c r="AF177" s="1256"/>
      <c r="AG177" s="1258"/>
      <c r="AH177" s="1258"/>
      <c r="AI177" s="1258"/>
      <c r="AJ177" s="1258"/>
      <c r="AK177" s="1258"/>
      <c r="AL177" s="1258"/>
    </row>
    <row r="178" spans="1:38" ht="14.1" customHeight="1" x14ac:dyDescent="0.3">
      <c r="A178" s="1258"/>
      <c r="B178" s="2263"/>
      <c r="C178" s="1348"/>
      <c r="D178" s="1258"/>
      <c r="E178" s="1415"/>
      <c r="F178" s="1258"/>
      <c r="H178" s="1630"/>
      <c r="I178" s="1081"/>
      <c r="K178" s="1258"/>
      <c r="L178" s="1499"/>
      <c r="M178" s="1499"/>
      <c r="N178" s="1499"/>
      <c r="O178" s="1535"/>
      <c r="P178" s="1258"/>
      <c r="Q178" s="1126"/>
      <c r="R178" s="2264"/>
      <c r="S178" s="2254"/>
      <c r="T178" s="2254"/>
      <c r="U178" s="2245"/>
      <c r="V178" s="1258"/>
      <c r="W178" s="1258"/>
      <c r="X178" s="1258"/>
      <c r="Y178" s="1258"/>
      <c r="Z178" s="1256"/>
      <c r="AA178" s="1256"/>
      <c r="AB178" s="1258"/>
      <c r="AC178" s="1258"/>
      <c r="AD178" s="1258"/>
      <c r="AE178" s="1256"/>
      <c r="AF178" s="1256"/>
      <c r="AG178" s="1258"/>
      <c r="AH178" s="1258"/>
      <c r="AI178" s="1258"/>
      <c r="AJ178" s="1258"/>
      <c r="AK178" s="1258"/>
      <c r="AL178" s="1258"/>
    </row>
    <row r="179" spans="1:38" ht="14.1" customHeight="1" thickBot="1" x14ac:dyDescent="0.35">
      <c r="A179" s="1258"/>
      <c r="B179" s="1258"/>
      <c r="D179" s="1258"/>
      <c r="E179" s="1415"/>
      <c r="F179" s="1258"/>
      <c r="H179" s="1526"/>
      <c r="I179" s="1081"/>
      <c r="K179" s="1258"/>
      <c r="L179" s="1499"/>
      <c r="M179" s="1574"/>
      <c r="N179" s="1499"/>
      <c r="O179" s="1535"/>
      <c r="P179" s="1258"/>
      <c r="Q179" s="2264"/>
      <c r="R179" s="2264"/>
      <c r="S179" s="2479"/>
      <c r="T179" s="2254"/>
      <c r="U179" s="2245"/>
      <c r="V179" s="1258"/>
      <c r="W179" s="1258"/>
      <c r="X179" s="1258"/>
      <c r="Y179" s="1258"/>
      <c r="Z179" s="1256"/>
      <c r="AA179" s="1256"/>
      <c r="AB179" s="1258"/>
      <c r="AC179" s="1258"/>
      <c r="AD179" s="1258"/>
      <c r="AE179" s="1256"/>
      <c r="AF179" s="1256"/>
      <c r="AG179" s="1258"/>
      <c r="AH179" s="1258"/>
      <c r="AI179" s="1258"/>
      <c r="AJ179" s="1258"/>
      <c r="AK179" s="1258"/>
      <c r="AL179" s="1258"/>
    </row>
    <row r="180" spans="1:38" ht="14.1" customHeight="1" thickTop="1" x14ac:dyDescent="0.3">
      <c r="A180" s="1258"/>
      <c r="B180" s="1258"/>
      <c r="C180" s="2449" t="s">
        <v>1942</v>
      </c>
      <c r="D180" s="1258"/>
      <c r="E180" s="1415"/>
      <c r="F180" s="1258"/>
      <c r="H180" s="1526"/>
      <c r="I180" s="1081"/>
      <c r="K180" s="1258"/>
      <c r="L180" s="1499"/>
      <c r="M180" s="1499"/>
      <c r="N180" s="1574"/>
      <c r="O180" s="1535"/>
      <c r="P180" s="2264"/>
      <c r="Q180" s="2264"/>
      <c r="R180" s="1126"/>
      <c r="S180" s="2480"/>
      <c r="T180" s="2254"/>
      <c r="U180" s="2245"/>
      <c r="V180" s="1258"/>
      <c r="W180" s="1258"/>
      <c r="X180" s="1258"/>
      <c r="Y180" s="1258"/>
      <c r="Z180" s="1256"/>
      <c r="AA180" s="1256"/>
      <c r="AB180" s="1258"/>
      <c r="AC180" s="1258"/>
      <c r="AD180" s="1258"/>
      <c r="AE180" s="1256"/>
      <c r="AF180" s="1256"/>
      <c r="AG180" s="1258"/>
      <c r="AH180" s="1258"/>
      <c r="AI180" s="1258"/>
      <c r="AJ180" s="1258"/>
      <c r="AK180" s="1258"/>
      <c r="AL180" s="1258"/>
    </row>
    <row r="181" spans="1:38" ht="14.1" customHeight="1" thickBot="1" x14ac:dyDescent="0.35">
      <c r="A181" s="1258"/>
      <c r="B181" s="1258"/>
      <c r="C181" s="2450">
        <f>D22-B75</f>
        <v>0</v>
      </c>
      <c r="D181" s="1258"/>
      <c r="E181" s="1415"/>
      <c r="F181" s="1258"/>
      <c r="H181" s="1526"/>
      <c r="I181" s="1081"/>
      <c r="K181" s="1258"/>
      <c r="L181" s="1499"/>
      <c r="M181" s="1499"/>
      <c r="N181" s="1574"/>
      <c r="O181" s="1535"/>
      <c r="P181" s="2264"/>
      <c r="Q181" s="1126"/>
      <c r="R181" s="1126"/>
      <c r="S181" s="2481"/>
      <c r="T181" s="2254"/>
      <c r="U181" s="2245"/>
      <c r="V181" s="1258"/>
      <c r="W181" s="1258"/>
      <c r="X181" s="1258"/>
      <c r="Y181" s="1258"/>
      <c r="Z181" s="1256"/>
      <c r="AA181" s="1256"/>
      <c r="AB181" s="1258"/>
      <c r="AC181" s="1258"/>
      <c r="AD181" s="1258"/>
      <c r="AE181" s="1256"/>
      <c r="AF181" s="1256"/>
      <c r="AG181" s="1258"/>
      <c r="AI181" s="1258"/>
      <c r="AJ181" s="1258"/>
      <c r="AK181" s="1258"/>
      <c r="AL181" s="1258"/>
    </row>
    <row r="182" spans="1:38" ht="14.1" customHeight="1" thickTop="1" x14ac:dyDescent="0.3">
      <c r="A182" s="1258"/>
      <c r="B182" s="2252"/>
      <c r="C182" s="2248"/>
      <c r="D182" s="1258"/>
      <c r="E182" s="1415"/>
      <c r="F182" s="1258"/>
      <c r="H182" s="1080" t="s">
        <v>2049</v>
      </c>
      <c r="I182" s="1080"/>
      <c r="K182" s="1258"/>
      <c r="L182" s="1499"/>
      <c r="M182" s="1499"/>
      <c r="N182" s="1574"/>
      <c r="O182" s="1535"/>
      <c r="P182" s="1258"/>
      <c r="Q182" s="1126"/>
      <c r="R182" s="1213"/>
      <c r="T182" s="2254"/>
      <c r="U182" s="2245"/>
      <c r="V182" s="1258"/>
      <c r="W182" s="1258"/>
      <c r="X182" s="1258"/>
      <c r="Y182" s="1258"/>
      <c r="Z182" s="1256"/>
      <c r="AA182" s="1256"/>
      <c r="AB182" s="1258"/>
      <c r="AC182" s="1258"/>
      <c r="AD182" s="1258"/>
      <c r="AE182" s="1256"/>
      <c r="AF182" s="1256"/>
      <c r="AG182" s="1258"/>
      <c r="AI182" s="1258"/>
      <c r="AJ182" s="1258"/>
      <c r="AK182" s="1258"/>
      <c r="AL182" s="1258"/>
    </row>
    <row r="183" spans="1:38" ht="14.1" customHeight="1" thickBot="1" x14ac:dyDescent="0.35">
      <c r="A183" s="1258"/>
      <c r="B183" s="1258"/>
      <c r="C183" s="2265"/>
      <c r="D183" s="1258"/>
      <c r="E183" s="1319"/>
      <c r="F183" s="2245"/>
      <c r="G183" s="1180" t="s">
        <v>186</v>
      </c>
      <c r="H183" s="1474">
        <v>4110</v>
      </c>
      <c r="I183" s="1643" t="s">
        <v>1698</v>
      </c>
      <c r="J183" s="1183" t="s">
        <v>185</v>
      </c>
      <c r="K183" s="1258"/>
      <c r="L183" s="1499"/>
      <c r="M183" s="1499"/>
      <c r="N183" s="1574"/>
      <c r="O183" s="1535"/>
      <c r="P183" s="1258"/>
      <c r="Q183" s="1213"/>
      <c r="R183" s="1162"/>
      <c r="T183" s="2254"/>
      <c r="U183" s="2245"/>
      <c r="V183" s="1258"/>
      <c r="W183" s="1258"/>
      <c r="X183" s="1258"/>
      <c r="Y183" s="1258"/>
      <c r="Z183" s="1256"/>
      <c r="AA183" s="1256"/>
      <c r="AB183" s="1258"/>
      <c r="AC183" s="1258"/>
      <c r="AD183" s="1258"/>
      <c r="AE183" s="1256"/>
      <c r="AF183" s="1256"/>
      <c r="AG183" s="1258"/>
      <c r="AI183" s="1258"/>
    </row>
    <row r="184" spans="1:38" ht="14.1" customHeight="1" x14ac:dyDescent="0.3">
      <c r="B184" s="1081"/>
      <c r="C184" s="1482"/>
      <c r="D184" s="1081"/>
      <c r="E184" s="1171"/>
      <c r="F184" s="1136"/>
      <c r="G184" s="1087">
        <v>35</v>
      </c>
      <c r="H184" s="1663" t="str">
        <f>IF(('Val-Dép'!I35="Matériel roulant"),VLOOKUP('Val-Dép'!I35,'Val-Dép'!I35:Z35,18,FALSE),"")</f>
        <v/>
      </c>
      <c r="I184" s="1098"/>
      <c r="K184" s="1641"/>
      <c r="L184" s="1499"/>
      <c r="M184" s="1499"/>
      <c r="N184" s="1574"/>
      <c r="O184" s="1535"/>
      <c r="P184" s="2267"/>
      <c r="Q184" s="1162"/>
      <c r="R184" s="1162"/>
      <c r="T184" s="2254"/>
      <c r="U184" s="2245"/>
      <c r="V184" s="1258"/>
      <c r="W184" s="1258"/>
      <c r="X184" s="1258"/>
      <c r="Y184" s="1258"/>
      <c r="Z184" s="1256"/>
      <c r="AA184" s="1256"/>
      <c r="AB184" s="1258"/>
      <c r="AC184" s="1258"/>
      <c r="AD184" s="1258"/>
      <c r="AE184" s="1256"/>
      <c r="AF184" s="1256"/>
      <c r="AG184" s="1258"/>
      <c r="AI184" s="1258"/>
    </row>
    <row r="185" spans="1:38" ht="14.1" customHeight="1" x14ac:dyDescent="0.3">
      <c r="B185" s="1081"/>
      <c r="C185" s="1482"/>
      <c r="D185" s="1081"/>
      <c r="E185" s="1171"/>
      <c r="F185" s="1136"/>
      <c r="G185" s="1087">
        <v>36</v>
      </c>
      <c r="H185" s="1630" t="str">
        <f>IF(('Val-Dép'!I36="Matériel roulant"),VLOOKUP('Val-Dép'!I36,'Val-Dép'!I36:Z36,18,FALSE),"")</f>
        <v/>
      </c>
      <c r="I185" s="1413"/>
      <c r="K185" s="1641"/>
      <c r="L185" s="1499"/>
      <c r="M185" s="1499"/>
      <c r="N185" s="1574"/>
      <c r="O185" s="1535"/>
      <c r="Q185" s="1162"/>
      <c r="R185" s="1162"/>
      <c r="T185" s="2472"/>
      <c r="U185" s="1258"/>
      <c r="V185" s="1258"/>
      <c r="W185" s="1258"/>
      <c r="X185" s="1258"/>
      <c r="Y185" s="1258"/>
      <c r="Z185" s="1256"/>
      <c r="AA185" s="1256"/>
      <c r="AB185" s="1258"/>
      <c r="AC185" s="1258"/>
      <c r="AD185" s="1258"/>
      <c r="AE185" s="1256"/>
      <c r="AF185" s="1256"/>
      <c r="AG185" s="1258"/>
      <c r="AI185" s="1258"/>
    </row>
    <row r="186" spans="1:38" ht="14.1" customHeight="1" x14ac:dyDescent="0.3">
      <c r="B186" s="1081"/>
      <c r="C186" s="1482"/>
      <c r="D186" s="1081"/>
      <c r="E186" s="1171"/>
      <c r="F186" s="1136"/>
      <c r="G186" s="1087">
        <v>37</v>
      </c>
      <c r="H186" s="1630" t="str">
        <f>IF(('Val-Dép'!I37="Matériel roulant"),VLOOKUP('Val-Dép'!I37,'Val-Dép'!I37:Z37,18,FALSE),"")</f>
        <v/>
      </c>
      <c r="I186" s="1413"/>
      <c r="K186" s="1641"/>
      <c r="L186" s="1499"/>
      <c r="M186" s="1499"/>
      <c r="N186" s="1574"/>
      <c r="O186" s="1535"/>
      <c r="Q186" s="1162"/>
      <c r="R186" s="1162"/>
      <c r="T186" s="2472"/>
      <c r="U186" s="1258"/>
      <c r="V186" s="1258"/>
      <c r="W186" s="1258"/>
      <c r="X186" s="1258"/>
      <c r="Y186" s="1258"/>
      <c r="Z186" s="1256"/>
      <c r="AA186" s="1256"/>
      <c r="AB186" s="1258"/>
      <c r="AC186" s="1258"/>
      <c r="AD186" s="1258"/>
      <c r="AE186" s="1256"/>
      <c r="AF186" s="1256"/>
      <c r="AG186" s="1258"/>
      <c r="AI186" s="1258"/>
    </row>
    <row r="187" spans="1:38" ht="14.1" customHeight="1" x14ac:dyDescent="0.3">
      <c r="B187" s="1499"/>
      <c r="C187" s="1482"/>
      <c r="D187" s="1081"/>
      <c r="E187" s="1171"/>
      <c r="F187" s="1136"/>
      <c r="G187" s="1087">
        <v>38</v>
      </c>
      <c r="H187" s="1630" t="str">
        <f>IF(('Val-Dép'!I38="Matériel roulant"),VLOOKUP('Val-Dép'!I38,'Val-Dép'!I38:Z38,18,FALSE),"")</f>
        <v/>
      </c>
      <c r="I187" s="1413"/>
      <c r="K187" s="1641"/>
      <c r="L187" s="1499"/>
      <c r="M187" s="1499"/>
      <c r="N187" s="1574"/>
      <c r="O187" s="1535"/>
      <c r="Q187" s="1162"/>
      <c r="R187" s="1162"/>
      <c r="T187" s="2472"/>
      <c r="U187" s="1258"/>
      <c r="V187" s="1258"/>
      <c r="W187" s="1258"/>
      <c r="X187" s="1258"/>
      <c r="Y187" s="1258"/>
      <c r="Z187" s="1256"/>
      <c r="AA187" s="1256"/>
      <c r="AB187" s="1258"/>
      <c r="AC187" s="1258"/>
      <c r="AD187" s="1258"/>
      <c r="AE187" s="1258"/>
      <c r="AF187" s="1258"/>
      <c r="AG187" s="1258"/>
      <c r="AI187" s="1258"/>
    </row>
    <row r="188" spans="1:38" ht="14.1" customHeight="1" x14ac:dyDescent="0.3">
      <c r="B188" s="1499"/>
      <c r="C188" s="1482"/>
      <c r="D188" s="1081"/>
      <c r="E188" s="1171"/>
      <c r="F188" s="1136"/>
      <c r="G188" s="1087">
        <v>39</v>
      </c>
      <c r="H188" s="1630" t="str">
        <f>IF(('Val-Dép'!I39="Matériel roulant"),VLOOKUP('Val-Dép'!I39,'Val-Dép'!I39:Z39,18,FALSE),"")</f>
        <v/>
      </c>
      <c r="I188" s="1413"/>
      <c r="K188" s="1641"/>
      <c r="L188" s="1499"/>
      <c r="M188" s="1499"/>
      <c r="N188" s="1574"/>
      <c r="O188" s="1535"/>
      <c r="Q188" s="1162"/>
      <c r="R188" s="1162"/>
      <c r="T188" s="2472"/>
      <c r="U188" s="1258"/>
      <c r="V188" s="1258"/>
      <c r="W188" s="1258"/>
      <c r="X188" s="1258"/>
      <c r="Y188" s="1258"/>
      <c r="Z188" s="1256"/>
      <c r="AA188" s="1256"/>
      <c r="AB188" s="1258"/>
      <c r="AC188" s="1258"/>
      <c r="AD188" s="1258"/>
      <c r="AE188" s="1126"/>
      <c r="AF188" s="1126"/>
      <c r="AG188" s="1258"/>
      <c r="AI188" s="1258"/>
    </row>
    <row r="189" spans="1:38" ht="14.1" customHeight="1" x14ac:dyDescent="0.3">
      <c r="B189" s="1499"/>
      <c r="C189" s="1482"/>
      <c r="D189" s="1081"/>
      <c r="E189" s="1171"/>
      <c r="F189" s="1136"/>
      <c r="G189" s="1087">
        <v>40</v>
      </c>
      <c r="H189" s="1630" t="str">
        <f>IF(('Val-Dép'!I40="Matériel roulant"),VLOOKUP('Val-Dép'!I40,'Val-Dép'!I40:Z40,18,FALSE),"")</f>
        <v/>
      </c>
      <c r="I189" s="1413"/>
      <c r="K189" s="1641"/>
      <c r="L189" s="1499"/>
      <c r="M189" s="1499"/>
      <c r="N189" s="1574"/>
      <c r="O189" s="1535"/>
      <c r="P189" s="1171"/>
      <c r="Q189" s="1162"/>
      <c r="R189" s="1162"/>
      <c r="T189" s="2254"/>
      <c r="U189" s="2254"/>
      <c r="V189" s="1258"/>
      <c r="W189" s="1258"/>
      <c r="X189" s="1258"/>
      <c r="Y189" s="1258"/>
      <c r="Z189" s="1126"/>
      <c r="AA189" s="1126"/>
      <c r="AB189" s="1258"/>
      <c r="AC189" s="1258"/>
      <c r="AD189" s="1258"/>
      <c r="AE189" s="1258"/>
      <c r="AF189" s="1258"/>
      <c r="AG189" s="1258"/>
      <c r="AI189" s="1258"/>
    </row>
    <row r="190" spans="1:38" ht="14.1" customHeight="1" x14ac:dyDescent="0.3">
      <c r="B190" s="1499"/>
      <c r="C190" s="1482"/>
      <c r="D190" s="1081"/>
      <c r="E190" s="1171"/>
      <c r="F190" s="1136"/>
      <c r="G190" s="1087">
        <v>41</v>
      </c>
      <c r="H190" s="1630" t="str">
        <f>IF(('Val-Dép'!I41="Matériel roulant"),VLOOKUP('Val-Dép'!I41,'Val-Dép'!I41:Z41,18,FALSE),"")</f>
        <v/>
      </c>
      <c r="I190" s="1413"/>
      <c r="K190" s="1641"/>
      <c r="L190" s="1499"/>
      <c r="M190" s="1499"/>
      <c r="N190" s="1574"/>
      <c r="O190" s="1535"/>
      <c r="P190" s="1516"/>
      <c r="Q190" s="1162"/>
      <c r="R190" s="1162"/>
      <c r="T190" s="1258"/>
      <c r="U190" s="2245"/>
      <c r="V190" s="1258"/>
      <c r="W190" s="1258"/>
      <c r="X190" s="1258"/>
      <c r="Y190" s="1258"/>
      <c r="Z190" s="1258"/>
      <c r="AA190" s="1258"/>
      <c r="AB190" s="1258"/>
      <c r="AC190" s="1258"/>
      <c r="AD190" s="1258"/>
      <c r="AE190" s="1126"/>
      <c r="AF190" s="1258"/>
      <c r="AG190" s="1258"/>
      <c r="AI190" s="1258"/>
    </row>
    <row r="191" spans="1:38" ht="14.1" customHeight="1" x14ac:dyDescent="0.3">
      <c r="B191" s="1499"/>
      <c r="C191" s="1482"/>
      <c r="D191" s="1081"/>
      <c r="E191" s="1171"/>
      <c r="F191" s="1136"/>
      <c r="G191" s="1087">
        <v>42</v>
      </c>
      <c r="H191" s="1630" t="str">
        <f>IF(('Val-Dép'!I42="Matériel roulant"),VLOOKUP('Val-Dép'!I42,'Val-Dép'!I42:Z42,18,FALSE),"")</f>
        <v/>
      </c>
      <c r="I191" s="1413"/>
      <c r="K191" s="1641"/>
      <c r="L191" s="1499"/>
      <c r="M191" s="1499"/>
      <c r="N191" s="1574"/>
      <c r="O191" s="1535"/>
      <c r="P191" s="1601"/>
      <c r="Q191" s="1162"/>
      <c r="R191" s="1162"/>
      <c r="T191" s="2254"/>
      <c r="U191" s="2254"/>
      <c r="V191" s="1258"/>
      <c r="W191" s="1258"/>
      <c r="X191" s="1258"/>
      <c r="Y191" s="1258"/>
      <c r="Z191" s="1258"/>
      <c r="AA191" s="1126"/>
      <c r="AB191" s="1258"/>
      <c r="AC191" s="1258"/>
      <c r="AD191" s="1258"/>
      <c r="AE191" s="1258"/>
      <c r="AF191" s="1258"/>
      <c r="AG191" s="1258"/>
      <c r="AI191" s="1258"/>
    </row>
    <row r="192" spans="1:38" ht="14.1" customHeight="1" x14ac:dyDescent="0.3">
      <c r="B192" s="1499"/>
      <c r="C192" s="1482"/>
      <c r="D192" s="1081"/>
      <c r="E192" s="1171"/>
      <c r="F192" s="1136"/>
      <c r="G192" s="1087">
        <v>43</v>
      </c>
      <c r="H192" s="1630" t="str">
        <f>IF(('Val-Dép'!I43="Matériel roulant"),VLOOKUP('Val-Dép'!I43,'Val-Dép'!I43:Z43,18,FALSE),"")</f>
        <v/>
      </c>
      <c r="I192" s="1413"/>
      <c r="K192" s="1641"/>
      <c r="L192" s="1499"/>
      <c r="M192" s="1499"/>
      <c r="N192" s="1574"/>
      <c r="O192" s="1535"/>
      <c r="P192" s="1601"/>
      <c r="Q192" s="1162"/>
      <c r="R192" s="1655"/>
      <c r="T192" s="2479"/>
      <c r="U192" s="2479"/>
      <c r="V192" s="1258"/>
      <c r="W192" s="1258"/>
      <c r="X192" s="1258"/>
      <c r="Y192" s="1258"/>
      <c r="Z192" s="1258"/>
      <c r="AA192" s="1258"/>
      <c r="AB192" s="1258"/>
      <c r="AC192" s="1258"/>
      <c r="AD192" s="1258"/>
      <c r="AE192" s="1126"/>
      <c r="AF192" s="1258"/>
      <c r="AG192" s="1258"/>
      <c r="AI192" s="1258"/>
    </row>
    <row r="193" spans="2:51" ht="14.1" customHeight="1" x14ac:dyDescent="0.3">
      <c r="B193" s="1499"/>
      <c r="C193" s="1482"/>
      <c r="D193" s="1081"/>
      <c r="E193" s="1171"/>
      <c r="F193" s="1136"/>
      <c r="G193" s="1087">
        <v>44</v>
      </c>
      <c r="H193" s="1630" t="str">
        <f>IF(('Val-Dép'!I44="Matériel roulant"),VLOOKUP('Val-Dép'!I44,'Val-Dép'!I44:Z44,18,FALSE),"")</f>
        <v/>
      </c>
      <c r="I193" s="1413"/>
      <c r="K193" s="1641"/>
      <c r="L193" s="1499"/>
      <c r="M193" s="1499"/>
      <c r="N193" s="1574"/>
      <c r="O193" s="1535"/>
      <c r="P193" s="1610"/>
      <c r="Q193" s="1655"/>
      <c r="R193" s="1162"/>
      <c r="T193" s="2480"/>
      <c r="U193" s="2480"/>
      <c r="V193" s="1258"/>
      <c r="W193" s="1258"/>
      <c r="X193" s="1258"/>
      <c r="Y193" s="1258"/>
      <c r="Z193" s="1258"/>
      <c r="AA193" s="1258"/>
      <c r="AB193" s="1258"/>
      <c r="AC193" s="1258"/>
      <c r="AD193" s="1258"/>
      <c r="AE193" s="1126"/>
      <c r="AF193" s="1258"/>
      <c r="AG193" s="1258"/>
      <c r="AH193" s="1258"/>
    </row>
    <row r="194" spans="2:51" ht="14.1" customHeight="1" thickBot="1" x14ac:dyDescent="0.35">
      <c r="B194" s="1499"/>
      <c r="C194" s="1482"/>
      <c r="D194" s="1081"/>
      <c r="E194" s="1171"/>
      <c r="F194" s="1136"/>
      <c r="G194" s="1087">
        <v>45</v>
      </c>
      <c r="H194" s="1664" t="str">
        <f>IF(('Val-Dép'!I45="Matériel roulant"),VLOOKUP('Val-Dép'!I45,'Val-Dép'!I45:Z45,18,FALSE),"")</f>
        <v/>
      </c>
      <c r="I194" s="1261"/>
      <c r="K194" s="1641"/>
      <c r="L194" s="1499"/>
      <c r="M194" s="1499"/>
      <c r="N194" s="1574"/>
      <c r="O194" s="1535"/>
      <c r="P194" s="1610"/>
      <c r="Q194" s="1162"/>
      <c r="R194" s="1162"/>
      <c r="S194" s="1258"/>
      <c r="T194" s="2481"/>
      <c r="U194" s="2481"/>
      <c r="V194" s="1258"/>
      <c r="W194" s="1258"/>
      <c r="X194" s="1258"/>
      <c r="Y194" s="1258"/>
      <c r="Z194" s="1258"/>
      <c r="AA194" s="1126"/>
      <c r="AB194" s="1258"/>
      <c r="AC194" s="1258"/>
      <c r="AD194" s="1258"/>
    </row>
    <row r="195" spans="2:51" ht="14.1" customHeight="1" x14ac:dyDescent="0.3">
      <c r="B195" s="1499"/>
      <c r="C195" s="1482"/>
      <c r="D195" s="1081"/>
      <c r="E195" s="1171"/>
      <c r="F195" s="1136"/>
      <c r="H195" s="1630"/>
      <c r="I195" s="1081"/>
      <c r="K195" s="1641"/>
      <c r="L195" s="1499"/>
      <c r="M195" s="1499"/>
      <c r="N195" s="1574"/>
      <c r="O195" s="1535"/>
      <c r="P195" s="1610"/>
      <c r="Q195" s="1162"/>
      <c r="R195" s="1162"/>
      <c r="S195" s="1081"/>
    </row>
    <row r="196" spans="2:51" ht="14.1" customHeight="1" x14ac:dyDescent="0.3">
      <c r="B196" s="1499"/>
      <c r="C196" s="1659"/>
      <c r="D196" s="1081"/>
      <c r="E196" s="1171"/>
      <c r="F196" s="1136"/>
      <c r="H196" s="1526"/>
      <c r="I196" s="1081"/>
      <c r="K196" s="1641"/>
      <c r="L196" s="1499"/>
      <c r="M196" s="1499"/>
      <c r="N196" s="1574"/>
      <c r="O196" s="1535"/>
      <c r="P196" s="1610"/>
      <c r="Q196" s="1162"/>
      <c r="R196" s="1162"/>
      <c r="S196" s="1081"/>
    </row>
    <row r="197" spans="2:51" ht="14.1" customHeight="1" thickBot="1" x14ac:dyDescent="0.35">
      <c r="B197" s="1499"/>
      <c r="C197" s="1659"/>
      <c r="D197" s="1081"/>
      <c r="E197" s="1171"/>
      <c r="F197" s="1136"/>
      <c r="G197" s="1136"/>
      <c r="H197" s="1136"/>
      <c r="J197" s="1665"/>
      <c r="K197" s="1641"/>
      <c r="L197" s="1499"/>
      <c r="M197" s="1499"/>
      <c r="N197" s="1574"/>
      <c r="O197" s="1535"/>
      <c r="P197" s="1610"/>
      <c r="Q197" s="1162"/>
      <c r="R197" s="1162"/>
      <c r="S197" s="1081"/>
    </row>
    <row r="198" spans="2:51" ht="14.1" customHeight="1" thickBot="1" x14ac:dyDescent="0.35">
      <c r="D198" s="1081"/>
      <c r="E198" s="1171"/>
      <c r="F198" s="1136"/>
      <c r="G198" s="1180" t="s">
        <v>186</v>
      </c>
      <c r="H198" s="1498">
        <v>4514</v>
      </c>
      <c r="I198" s="1286" t="s">
        <v>2006</v>
      </c>
      <c r="J198" s="1183" t="s">
        <v>185</v>
      </c>
      <c r="K198" s="1658"/>
      <c r="L198" s="1499"/>
      <c r="M198" s="1499"/>
      <c r="N198" s="1574"/>
      <c r="O198" s="1535"/>
      <c r="P198" s="1610"/>
      <c r="Q198" s="1162"/>
      <c r="R198" s="1162"/>
      <c r="S198" s="1081"/>
    </row>
    <row r="199" spans="2:51" ht="14.1" customHeight="1" thickBot="1" x14ac:dyDescent="0.35">
      <c r="D199" s="1081"/>
      <c r="E199" s="1171"/>
      <c r="F199" s="1136"/>
      <c r="G199" s="1180"/>
      <c r="H199" s="1593" t="s">
        <v>2057</v>
      </c>
      <c r="I199" s="1666" t="s">
        <v>2058</v>
      </c>
      <c r="J199" s="1183"/>
      <c r="K199" s="1660"/>
      <c r="L199" s="1499"/>
      <c r="M199" s="1499"/>
      <c r="N199" s="1574"/>
      <c r="O199" s="1535"/>
      <c r="P199" s="1610"/>
      <c r="Q199" s="1162"/>
      <c r="R199" s="1162"/>
      <c r="S199" s="1081"/>
    </row>
    <row r="200" spans="2:51" ht="16.5" customHeight="1" x14ac:dyDescent="0.3">
      <c r="D200" s="1081"/>
      <c r="E200" s="1171"/>
      <c r="F200" s="1136"/>
      <c r="G200" s="1087">
        <v>35</v>
      </c>
      <c r="H200" s="1667" t="str">
        <f>IF(('Val-Dép'!I35="note de crédit"),VLOOKUP('Val-Dép'!I35,'Val-Dép'!I35:AC35,19,FALSE ),"")</f>
        <v/>
      </c>
      <c r="I200" s="1668" t="str">
        <f>IF(('Val-Dép'!I35="note de crédit"),VLOOKUP('Val-Dép'!I35,'Val-Dép'!I35:AC35,19,FALSE ),"")</f>
        <v/>
      </c>
      <c r="J200" s="1171"/>
      <c r="K200" s="1660"/>
      <c r="L200" s="1499"/>
      <c r="M200" s="1499"/>
      <c r="N200" s="1574"/>
      <c r="O200" s="1535"/>
      <c r="P200" s="1610"/>
      <c r="Q200" s="1162"/>
      <c r="R200" s="1162"/>
      <c r="S200" s="1081"/>
    </row>
    <row r="201" spans="2:51" ht="14.1" customHeight="1" x14ac:dyDescent="0.3">
      <c r="D201" s="1081"/>
      <c r="E201" s="1171"/>
      <c r="F201" s="1136"/>
      <c r="G201" s="1087">
        <v>36</v>
      </c>
      <c r="H201" s="1669" t="str">
        <f>IF(('Val-Dép'!I36="note de crédit"),VLOOKUP('Val-Dép'!I36,'Val-Dép'!I36:AC36,19,FALSE ),"")</f>
        <v/>
      </c>
      <c r="I201" s="1670" t="str">
        <f>IF(('Val-Dép'!I36="note de crédit"),VLOOKUP('Val-Dép'!I36,'Val-Dép'!I36:AC36,19,FALSE ),"")</f>
        <v/>
      </c>
      <c r="J201" s="1171"/>
      <c r="K201" s="1660"/>
      <c r="L201" s="1499"/>
      <c r="M201" s="1499"/>
      <c r="N201" s="1574"/>
      <c r="O201" s="1535"/>
      <c r="P201" s="1610"/>
      <c r="Q201" s="1162"/>
      <c r="R201" s="1162"/>
      <c r="S201" s="1081"/>
    </row>
    <row r="202" spans="2:51" ht="15" customHeight="1" x14ac:dyDescent="0.3">
      <c r="D202" s="1081"/>
      <c r="E202" s="1171"/>
      <c r="F202" s="1136"/>
      <c r="G202" s="1087">
        <v>37</v>
      </c>
      <c r="H202" s="1669" t="str">
        <f>IF(('Val-Dép'!I37="note de crédit"),VLOOKUP('Val-Dép'!I37,'Val-Dép'!I37:AC37,19,FALSE ),"")</f>
        <v/>
      </c>
      <c r="I202" s="1670" t="str">
        <f>IF(('Val-Dép'!I37="note de crédit"),VLOOKUP('Val-Dép'!I37,'Val-Dép'!I37:AC37,19,FALSE ),"")</f>
        <v/>
      </c>
      <c r="K202" s="1660"/>
      <c r="L202" s="1499"/>
      <c r="M202" s="1499"/>
      <c r="N202" s="1574"/>
      <c r="O202" s="1535"/>
      <c r="P202" s="1535"/>
      <c r="Q202" s="1162"/>
      <c r="R202" s="1162"/>
      <c r="S202" s="1081"/>
    </row>
    <row r="203" spans="2:51" ht="15" customHeight="1" x14ac:dyDescent="0.3">
      <c r="D203" s="1081"/>
      <c r="E203" s="1171"/>
      <c r="F203" s="1136"/>
      <c r="G203" s="1087">
        <v>38</v>
      </c>
      <c r="H203" s="1669" t="str">
        <f>IF(('Val-Dép'!I38="note de crédit"),VLOOKUP('Val-Dép'!I38,'Val-Dép'!I38:AC38,19,FALSE ),"")</f>
        <v/>
      </c>
      <c r="I203" s="1670" t="str">
        <f>IF(('Val-Dép'!I38="note de crédit"),VLOOKUP('Val-Dép'!I38,'Val-Dép'!I38:AC38,19,FALSE ),"")</f>
        <v/>
      </c>
      <c r="K203" s="1660"/>
      <c r="L203" s="1499"/>
      <c r="M203" s="1499"/>
      <c r="N203" s="1574"/>
      <c r="O203" s="1535"/>
      <c r="P203" s="1535"/>
      <c r="Q203" s="1162"/>
      <c r="R203" s="1162"/>
      <c r="S203" s="1081"/>
    </row>
    <row r="204" spans="2:51" ht="15" customHeight="1" x14ac:dyDescent="0.3">
      <c r="D204" s="1081"/>
      <c r="E204" s="1171"/>
      <c r="F204" s="1136"/>
      <c r="G204" s="1087">
        <v>39</v>
      </c>
      <c r="H204" s="1669" t="str">
        <f>IF(('Val-Dép'!I39="note de crédit"),VLOOKUP('Val-Dép'!I39,'Val-Dép'!I39:AC39,19,FALSE ),"")</f>
        <v/>
      </c>
      <c r="I204" s="1670" t="str">
        <f>IF(('Val-Dép'!I39="note de crédit"),VLOOKUP('Val-Dép'!I39,'Val-Dép'!I39:AC39,19,FALSE ),"")</f>
        <v/>
      </c>
      <c r="K204" s="1660"/>
      <c r="L204" s="1499"/>
      <c r="M204" s="1499"/>
      <c r="N204" s="1574"/>
      <c r="O204" s="1535"/>
      <c r="P204" s="1535"/>
      <c r="Q204" s="1162"/>
      <c r="R204" s="1162"/>
      <c r="S204" s="1655"/>
    </row>
    <row r="205" spans="2:51" ht="15" customHeight="1" x14ac:dyDescent="0.3">
      <c r="D205" s="1081"/>
      <c r="E205" s="1171"/>
      <c r="F205" s="1136"/>
      <c r="G205" s="1087">
        <v>40</v>
      </c>
      <c r="H205" s="1611"/>
      <c r="I205" s="1670" t="str">
        <f>IF(('Val-Dép'!I40="note de crédit"),VLOOKUP('Val-Dép'!I40,'Val-Dép'!I40:AC40,19,FALSE ),"")</f>
        <v/>
      </c>
      <c r="J205" s="1270" t="s">
        <v>249</v>
      </c>
      <c r="K205" s="1660"/>
      <c r="L205" s="1499"/>
      <c r="M205" s="1499"/>
      <c r="N205" s="1574"/>
      <c r="O205" s="1535"/>
      <c r="P205" s="1535"/>
      <c r="Q205" s="1162"/>
      <c r="R205" s="1162"/>
      <c r="S205" s="1081"/>
    </row>
    <row r="206" spans="2:51" ht="15" customHeight="1" x14ac:dyDescent="0.3">
      <c r="D206" s="1081"/>
      <c r="E206" s="1171"/>
      <c r="F206" s="1136"/>
      <c r="G206" s="1087">
        <v>41</v>
      </c>
      <c r="H206" s="1669" t="str">
        <f>IF(('Val-Dép'!I41="note de crédit"),VLOOKUP('Val-Dép'!I41,'Val-Dép'!I41:AC41,19,FALSE ),"")</f>
        <v/>
      </c>
      <c r="I206" s="1670" t="str">
        <f>IF(('Val-Dép'!I41="note de crédit"),VLOOKUP('Val-Dép'!I41,'Val-Dép'!I41:AC41,19,FALSE ),"")</f>
        <v/>
      </c>
      <c r="K206" s="1660"/>
      <c r="L206" s="1499"/>
      <c r="M206" s="1499"/>
      <c r="N206" s="1574"/>
      <c r="O206" s="1535"/>
      <c r="P206" s="1535"/>
      <c r="Q206" s="1162"/>
      <c r="R206" s="1162"/>
      <c r="S206" s="1081"/>
      <c r="AE206" s="1258"/>
      <c r="AF206" s="1258"/>
      <c r="AG206" s="1258"/>
      <c r="AN206" s="1081"/>
      <c r="AO206" s="1081"/>
      <c r="AP206" s="1081"/>
      <c r="AQ206" s="1081"/>
      <c r="AR206" s="1081"/>
      <c r="AS206" s="1081"/>
      <c r="AT206" s="1081"/>
      <c r="AU206" s="1081"/>
      <c r="AV206" s="1081"/>
      <c r="AW206" s="1081"/>
      <c r="AX206" s="1081"/>
      <c r="AY206" s="1081"/>
    </row>
    <row r="207" spans="2:51" ht="15" customHeight="1" x14ac:dyDescent="0.3">
      <c r="D207" s="1081"/>
      <c r="E207" s="1171"/>
      <c r="F207" s="1136"/>
      <c r="G207" s="1087">
        <v>42</v>
      </c>
      <c r="H207" s="1669" t="str">
        <f>IF(('Val-Dép'!I42="note de crédit"),VLOOKUP('Val-Dép'!I42,'Val-Dép'!I42:AC42,19,FALSE ),"")</f>
        <v/>
      </c>
      <c r="I207" s="1670" t="str">
        <f>IF(('Val-Dép'!I42="note de crédit"),VLOOKUP('Val-Dép'!I42,'Val-Dép'!I42:AC42,19,FALSE ),"")</f>
        <v/>
      </c>
      <c r="K207" s="1660"/>
      <c r="L207" s="1499"/>
      <c r="M207" s="1499"/>
      <c r="N207" s="1574"/>
      <c r="O207" s="1535"/>
      <c r="P207" s="1535"/>
      <c r="Q207" s="1162"/>
      <c r="R207" s="1162"/>
      <c r="S207" s="1162"/>
      <c r="T207" s="1258"/>
      <c r="U207" s="2245"/>
      <c r="V207" s="1258"/>
      <c r="W207" s="1258"/>
      <c r="X207" s="1258"/>
      <c r="Y207" s="1258"/>
      <c r="Z207" s="1258"/>
      <c r="AA207" s="1258"/>
      <c r="AB207" s="1258"/>
      <c r="AC207" s="1258"/>
      <c r="AD207" s="1258"/>
      <c r="AN207" s="1081"/>
      <c r="AO207" s="1081"/>
      <c r="AP207" s="1081"/>
      <c r="AQ207" s="1081"/>
      <c r="AR207" s="1081"/>
      <c r="AS207" s="1081"/>
      <c r="AT207" s="1081"/>
      <c r="AU207" s="1081"/>
      <c r="AV207" s="1081"/>
      <c r="AW207" s="1081"/>
      <c r="AX207" s="1081"/>
      <c r="AY207" s="1081"/>
    </row>
    <row r="208" spans="2:51" ht="15" customHeight="1" x14ac:dyDescent="0.3">
      <c r="D208" s="1081"/>
      <c r="E208" s="1171"/>
      <c r="F208" s="1136"/>
      <c r="G208" s="1087">
        <v>43</v>
      </c>
      <c r="H208" s="1669" t="str">
        <f>IF(('Val-Dép'!I43="note de crédit"),VLOOKUP('Val-Dép'!I43,'Val-Dép'!I43:AC43,19,FALSE ),"")</f>
        <v/>
      </c>
      <c r="I208" s="1670" t="str">
        <f>IF(('Val-Dép'!I43="note de crédit"),VLOOKUP('Val-Dép'!I43,'Val-Dép'!I43:AC43,19,FALSE ),"")</f>
        <v/>
      </c>
      <c r="K208" s="1660"/>
      <c r="L208" s="1499"/>
      <c r="M208" s="1499"/>
      <c r="N208" s="1574"/>
      <c r="O208" s="1535"/>
      <c r="P208" s="1535"/>
      <c r="Q208" s="1162"/>
      <c r="R208" s="1162"/>
      <c r="S208" s="1162"/>
      <c r="T208" s="1081"/>
      <c r="AN208" s="1499"/>
      <c r="AO208" s="1514"/>
      <c r="AP208" s="1515"/>
      <c r="AQ208" s="1516"/>
      <c r="AR208" s="1081"/>
      <c r="AS208" s="1499"/>
      <c r="AT208" s="1514"/>
      <c r="AU208" s="1517"/>
      <c r="AV208" s="1516"/>
      <c r="AW208" s="1081"/>
      <c r="AX208" s="1081"/>
      <c r="AY208" s="1081"/>
    </row>
    <row r="209" spans="4:55" ht="15" customHeight="1" x14ac:dyDescent="0.3">
      <c r="D209" s="1081"/>
      <c r="E209" s="1171"/>
      <c r="F209" s="1136"/>
      <c r="G209" s="1087">
        <v>44</v>
      </c>
      <c r="H209" s="1669" t="str">
        <f>IF(('Val-Dép'!I44="note de crédit"),VLOOKUP('Val-Dép'!I44,'Val-Dép'!I44:AC44,19,FALSE ),"")</f>
        <v/>
      </c>
      <c r="I209" s="1670" t="str">
        <f>IF(('Val-Dép'!I44="note de crédit"),VLOOKUP('Val-Dép'!I44,'Val-Dép'!I44:AC44,19,FALSE ),"")</f>
        <v/>
      </c>
      <c r="K209" s="1662"/>
      <c r="L209" s="1499"/>
      <c r="M209" s="1499"/>
      <c r="N209" s="1574"/>
      <c r="O209" s="1535"/>
      <c r="P209" s="1535"/>
      <c r="Q209" s="1162"/>
      <c r="R209" s="1162"/>
      <c r="S209" s="1162"/>
      <c r="T209" s="1081"/>
      <c r="AN209" s="1081"/>
      <c r="AO209" s="1482"/>
      <c r="AP209" s="1482"/>
      <c r="AQ209" s="1171"/>
      <c r="AR209" s="1081"/>
      <c r="AS209" s="1081"/>
      <c r="AT209" s="1081"/>
      <c r="AU209" s="1526"/>
      <c r="AV209" s="1171"/>
      <c r="AW209" s="1081"/>
      <c r="AX209" s="1081"/>
      <c r="AY209" s="1081"/>
    </row>
    <row r="210" spans="4:55" ht="14.1" customHeight="1" thickBot="1" x14ac:dyDescent="0.35">
      <c r="D210" s="1081"/>
      <c r="E210" s="1171"/>
      <c r="F210" s="1136"/>
      <c r="G210" s="1087">
        <v>45</v>
      </c>
      <c r="H210" s="1672">
        <f>SUM(H200:H209)</f>
        <v>0</v>
      </c>
      <c r="I210" s="1549"/>
      <c r="K210" s="1662"/>
      <c r="L210" s="1499"/>
      <c r="M210" s="1499"/>
      <c r="N210" s="1574"/>
      <c r="O210" s="1535"/>
      <c r="P210" s="1535"/>
      <c r="Q210" s="1162"/>
      <c r="R210" s="1162"/>
      <c r="S210" s="1162"/>
      <c r="T210" s="1081"/>
      <c r="AJ210" s="1535"/>
      <c r="AN210" s="1258"/>
      <c r="AO210" s="1258"/>
      <c r="AP210" s="1258"/>
      <c r="AQ210" s="1258"/>
      <c r="AR210" s="1258"/>
      <c r="AS210" s="1258"/>
      <c r="AT210" s="1258"/>
      <c r="AU210" s="1536"/>
      <c r="AV210" s="1258"/>
      <c r="AW210" s="1258"/>
      <c r="AX210" s="1258"/>
      <c r="AY210" s="1258"/>
      <c r="AZ210" s="1258"/>
      <c r="BA210" s="1258"/>
      <c r="BB210" s="1258"/>
      <c r="BC210" s="1258"/>
    </row>
    <row r="211" spans="4:55" ht="14.1" customHeight="1" x14ac:dyDescent="0.3">
      <c r="D211" s="1081"/>
      <c r="E211" s="1171"/>
      <c r="F211" s="1136"/>
      <c r="H211" s="1673"/>
      <c r="I211" s="1674"/>
      <c r="K211" s="1662"/>
      <c r="L211" s="1499"/>
      <c r="M211" s="1499"/>
      <c r="N211" s="1574"/>
      <c r="O211" s="1535"/>
      <c r="P211" s="1535"/>
      <c r="Q211" s="1162"/>
      <c r="R211" s="1162"/>
      <c r="S211" s="1162"/>
      <c r="T211" s="1081"/>
      <c r="AJ211" s="1535"/>
      <c r="AK211" s="1535"/>
      <c r="AL211" s="1535"/>
      <c r="AM211" s="1535"/>
      <c r="AN211" s="1258"/>
      <c r="AO211" s="1258"/>
      <c r="AP211" s="1258"/>
      <c r="AQ211" s="1258"/>
      <c r="AR211" s="1258"/>
      <c r="AS211" s="1258"/>
      <c r="AT211" s="1258"/>
      <c r="AU211" s="1536"/>
      <c r="AV211" s="1258"/>
      <c r="AW211" s="1258"/>
      <c r="AX211" s="1258"/>
      <c r="AY211" s="1258"/>
      <c r="AZ211" s="1258"/>
      <c r="BA211" s="1258"/>
      <c r="BB211" s="1258"/>
      <c r="BC211" s="1258"/>
    </row>
    <row r="212" spans="4:55" ht="14.1" customHeight="1" x14ac:dyDescent="0.3">
      <c r="D212" s="1081"/>
      <c r="E212" s="1171"/>
      <c r="F212" s="1136"/>
      <c r="H212" s="1673"/>
      <c r="I212" s="1674"/>
      <c r="K212" s="1662"/>
      <c r="L212" s="1499"/>
      <c r="M212" s="1499"/>
      <c r="N212" s="1574"/>
      <c r="O212" s="1535"/>
      <c r="P212" s="1535"/>
      <c r="Q212" s="1162"/>
      <c r="R212" s="1162"/>
      <c r="S212" s="1162"/>
      <c r="T212" s="1081"/>
      <c r="AJ212" s="1535"/>
      <c r="AK212" s="1535"/>
      <c r="AL212" s="1535"/>
      <c r="AM212" s="1535"/>
      <c r="AN212" s="1258"/>
      <c r="AO212" s="1258"/>
      <c r="AP212" s="1258"/>
      <c r="AQ212" s="1258"/>
      <c r="AR212" s="1258"/>
      <c r="AS212" s="1258"/>
      <c r="AT212" s="1258"/>
      <c r="AU212" s="1536"/>
      <c r="AV212" s="1258"/>
      <c r="AW212" s="1258"/>
      <c r="AX212" s="1258"/>
      <c r="AY212" s="1258"/>
      <c r="AZ212" s="1258"/>
      <c r="BA212" s="1258"/>
      <c r="BB212" s="1258"/>
      <c r="BC212" s="1258"/>
    </row>
    <row r="213" spans="4:55" ht="14.1" customHeight="1" thickBot="1" x14ac:dyDescent="0.35">
      <c r="D213" s="1081"/>
      <c r="E213" s="1171"/>
      <c r="F213" s="1136"/>
      <c r="K213" s="1662"/>
      <c r="L213" s="1499"/>
      <c r="M213" s="1499"/>
      <c r="N213" s="1574"/>
      <c r="O213" s="1535"/>
      <c r="P213" s="1535"/>
      <c r="Q213" s="1162"/>
      <c r="R213" s="1162"/>
      <c r="S213" s="1162"/>
      <c r="T213" s="1081"/>
      <c r="AJ213" s="1535"/>
      <c r="AK213" s="1535"/>
      <c r="AL213" s="1535"/>
      <c r="AM213" s="1535"/>
      <c r="AN213" s="1258"/>
      <c r="AO213" s="1258"/>
      <c r="AP213" s="1258"/>
      <c r="AQ213" s="1258"/>
      <c r="AR213" s="1258"/>
      <c r="AS213" s="1258"/>
      <c r="AT213" s="1258"/>
      <c r="AU213" s="1536"/>
      <c r="AV213" s="1258"/>
      <c r="AW213" s="1258"/>
      <c r="AX213" s="1258"/>
      <c r="AY213" s="1258"/>
      <c r="AZ213" s="1258"/>
      <c r="BA213" s="1258"/>
      <c r="BB213" s="1258"/>
      <c r="BC213" s="1258"/>
    </row>
    <row r="214" spans="4:55" ht="14.1" customHeight="1" thickTop="1" thickBot="1" x14ac:dyDescent="0.35">
      <c r="D214" s="1081"/>
      <c r="E214" s="1171"/>
      <c r="F214" s="1136"/>
      <c r="G214" s="1675" t="s">
        <v>186</v>
      </c>
      <c r="H214" s="1676" t="s">
        <v>263</v>
      </c>
      <c r="I214" s="1677" t="s">
        <v>2016</v>
      </c>
      <c r="J214" s="1678" t="s">
        <v>185</v>
      </c>
      <c r="K214" s="1662"/>
      <c r="L214" s="1499"/>
      <c r="M214" s="1499"/>
      <c r="N214" s="1574"/>
      <c r="O214" s="1535"/>
      <c r="P214" s="1535"/>
      <c r="Q214" s="1162"/>
      <c r="R214" s="1162"/>
      <c r="S214" s="1162"/>
      <c r="T214" s="1081"/>
      <c r="AJ214" s="1535"/>
      <c r="AK214" s="1535"/>
      <c r="AL214" s="1535"/>
      <c r="AM214" s="1535"/>
      <c r="AN214" s="1258"/>
      <c r="AO214" s="1258"/>
      <c r="AP214" s="1258"/>
      <c r="AQ214" s="1258"/>
      <c r="AR214" s="1258"/>
      <c r="AS214" s="1258"/>
      <c r="AT214" s="1258"/>
      <c r="AU214" s="1536"/>
      <c r="AV214" s="1258"/>
      <c r="AW214" s="1258"/>
      <c r="AX214" s="1258"/>
      <c r="AY214" s="1258"/>
      <c r="AZ214" s="1258"/>
      <c r="BA214" s="1258"/>
      <c r="BB214" s="1258"/>
      <c r="BC214" s="1258"/>
    </row>
    <row r="215" spans="4:55" ht="14.1" customHeight="1" thickBot="1" x14ac:dyDescent="0.35">
      <c r="D215" s="1081"/>
      <c r="E215" s="1171"/>
      <c r="F215" s="1136"/>
      <c r="G215" s="1592"/>
      <c r="H215" s="1690" t="s">
        <v>2014</v>
      </c>
      <c r="I215" s="1690"/>
      <c r="J215" s="1595"/>
      <c r="K215" s="1662"/>
      <c r="P215" s="1535"/>
      <c r="Q215" s="1162"/>
      <c r="R215" s="1162"/>
      <c r="S215" s="1162"/>
      <c r="T215" s="1081"/>
      <c r="AJ215" s="1535"/>
      <c r="AK215" s="1535"/>
      <c r="AL215" s="1535"/>
      <c r="AM215" s="1535"/>
      <c r="AN215" s="1258"/>
      <c r="AO215" s="1258"/>
      <c r="AP215" s="1258"/>
      <c r="AQ215" s="1258"/>
      <c r="AR215" s="1258"/>
      <c r="AS215" s="1258"/>
      <c r="AT215" s="1258"/>
      <c r="AU215" s="1536"/>
      <c r="AV215" s="1258"/>
      <c r="AW215" s="1258"/>
      <c r="AX215" s="1258"/>
      <c r="AY215" s="1258"/>
      <c r="AZ215" s="1258"/>
      <c r="BA215" s="1258"/>
      <c r="BB215" s="1258"/>
      <c r="BC215" s="1258"/>
    </row>
    <row r="216" spans="4:55" ht="14.1" customHeight="1" x14ac:dyDescent="0.3">
      <c r="D216" s="1081"/>
      <c r="E216" s="1171"/>
      <c r="F216" s="1136"/>
      <c r="G216" s="1087">
        <v>35</v>
      </c>
      <c r="H216" s="1679">
        <f>IF(ISNA(VLOOKUP($I$214,'Val-Dép'!I35:AE35,23,FALSE)),,VLOOKUP($I$214,'Val-Dép'!I35:AE35,23,FALSE))</f>
        <v>0</v>
      </c>
      <c r="I216" s="1635"/>
      <c r="J216" s="1171"/>
      <c r="K216" s="1662"/>
      <c r="P216" s="1535"/>
      <c r="Q216" s="1162"/>
      <c r="R216" s="1162"/>
      <c r="S216" s="1162"/>
      <c r="T216" s="1081"/>
      <c r="U216" s="1654"/>
      <c r="V216" s="1162"/>
      <c r="W216" s="1162"/>
      <c r="Z216" s="1081"/>
      <c r="AJ216" s="1535"/>
      <c r="AK216" s="1535"/>
      <c r="AL216" s="1535"/>
      <c r="AM216" s="1535"/>
      <c r="AN216" s="1258"/>
      <c r="AO216" s="1258"/>
      <c r="AP216" s="1258"/>
      <c r="AQ216" s="1258"/>
      <c r="AR216" s="1258"/>
      <c r="AS216" s="1258"/>
      <c r="AT216" s="1258"/>
      <c r="AU216" s="1536"/>
      <c r="AV216" s="1258"/>
      <c r="AW216" s="1258"/>
      <c r="AX216" s="1258"/>
      <c r="AY216" s="1258"/>
      <c r="AZ216" s="1258"/>
      <c r="BA216" s="1258"/>
      <c r="BB216" s="1258"/>
      <c r="BC216" s="1258"/>
    </row>
    <row r="217" spans="4:55" ht="14.1" customHeight="1" x14ac:dyDescent="0.3">
      <c r="D217" s="1081"/>
      <c r="E217" s="1171"/>
      <c r="F217" s="1136"/>
      <c r="G217" s="1087">
        <v>36</v>
      </c>
      <c r="H217" s="1680">
        <f>IF(ISNA(VLOOKUP($I$214,'Val-Dép'!I36:AE36,23,FALSE)),,VLOOKUP($I$214,'Val-Dép'!I36:AE36,23,FALSE))</f>
        <v>0</v>
      </c>
      <c r="I217" s="1637"/>
      <c r="J217" s="1171"/>
      <c r="K217" s="1662"/>
      <c r="P217" s="1535"/>
      <c r="Q217" s="1162"/>
      <c r="R217" s="1162"/>
      <c r="S217" s="1162"/>
      <c r="T217" s="1655"/>
      <c r="U217" s="1655"/>
      <c r="V217" s="1655"/>
      <c r="W217" s="1655"/>
      <c r="X217" s="1081"/>
      <c r="Y217" s="1081"/>
      <c r="Z217" s="1655"/>
      <c r="AJ217" s="1535"/>
      <c r="AK217" s="1535"/>
      <c r="AL217" s="1535"/>
      <c r="AM217" s="1535"/>
      <c r="AN217" s="1258"/>
      <c r="AO217" s="1258"/>
      <c r="AP217" s="1258"/>
      <c r="AQ217" s="1258"/>
      <c r="AR217" s="1258"/>
      <c r="AS217" s="1258"/>
      <c r="AT217" s="1258"/>
      <c r="AU217" s="1536"/>
      <c r="AV217" s="1258"/>
      <c r="AW217" s="1258"/>
      <c r="AX217" s="1258"/>
      <c r="AY217" s="1258"/>
      <c r="AZ217" s="1258"/>
      <c r="BA217" s="1258"/>
      <c r="BB217" s="1258"/>
      <c r="BC217" s="1258"/>
    </row>
    <row r="218" spans="4:55" ht="14.1" customHeight="1" x14ac:dyDescent="0.3">
      <c r="D218" s="1081"/>
      <c r="E218" s="1171"/>
      <c r="F218" s="1136"/>
      <c r="G218" s="1087">
        <v>37</v>
      </c>
      <c r="H218" s="1680">
        <f>IF(ISNA(VLOOKUP($I$214,'Val-Dép'!I37:AE37,23,FALSE)),,VLOOKUP($I$214,'Val-Dép'!I37:AE37,23,FALSE))</f>
        <v>0</v>
      </c>
      <c r="I218" s="1637"/>
      <c r="J218" s="1171"/>
      <c r="K218" s="1662"/>
      <c r="P218" s="1535"/>
      <c r="Q218" s="1162"/>
      <c r="R218" s="1162"/>
      <c r="S218" s="1162"/>
      <c r="T218" s="1081"/>
      <c r="U218" s="1654"/>
      <c r="V218" s="1162"/>
      <c r="W218" s="1162"/>
      <c r="X218" s="1655"/>
      <c r="Y218" s="1655"/>
      <c r="AJ218" s="1535"/>
      <c r="AK218" s="1535"/>
      <c r="AL218" s="1535"/>
      <c r="AM218" s="1535"/>
      <c r="AN218" s="1258"/>
      <c r="AO218" s="1258"/>
      <c r="AP218" s="1258"/>
      <c r="AQ218" s="1258"/>
      <c r="AR218" s="1258"/>
      <c r="AS218" s="1258"/>
      <c r="AT218" s="1258"/>
      <c r="AU218" s="1536"/>
      <c r="AV218" s="1258"/>
      <c r="AW218" s="1258"/>
      <c r="AX218" s="1258"/>
      <c r="AY218" s="1258"/>
      <c r="AZ218" s="1258"/>
      <c r="BA218" s="1258"/>
      <c r="BB218" s="1258"/>
      <c r="BC218" s="1258"/>
    </row>
    <row r="219" spans="4:55" ht="14.1" customHeight="1" x14ac:dyDescent="0.3">
      <c r="D219" s="1081"/>
      <c r="E219" s="1171"/>
      <c r="F219" s="1136"/>
      <c r="G219" s="1087">
        <v>38</v>
      </c>
      <c r="H219" s="1680">
        <f>IF(ISNA(VLOOKUP($I$214,'Val-Dép'!I38:AE38,23,FALSE)),,VLOOKUP($I$214,'Val-Dép'!I38:AE38,23,FALSE))</f>
        <v>0</v>
      </c>
      <c r="I219" s="1637"/>
      <c r="J219" s="1171"/>
      <c r="K219" s="1662"/>
      <c r="P219" s="1535"/>
      <c r="Q219" s="1162"/>
      <c r="R219" s="1162"/>
      <c r="S219" s="1162"/>
      <c r="T219" s="1081"/>
      <c r="U219" s="1654"/>
      <c r="V219" s="1162"/>
      <c r="W219" s="1162"/>
      <c r="AJ219" s="1535"/>
      <c r="AK219" s="1535"/>
      <c r="AL219" s="1535"/>
      <c r="AM219" s="1535"/>
      <c r="AN219" s="1258"/>
      <c r="AO219" s="1258"/>
      <c r="AP219" s="1258"/>
      <c r="AQ219" s="1258"/>
      <c r="AR219" s="1258"/>
      <c r="AS219" s="1258"/>
      <c r="AT219" s="1258"/>
      <c r="AU219" s="1536"/>
      <c r="AV219" s="1258"/>
      <c r="AW219" s="1258"/>
      <c r="AX219" s="1258"/>
      <c r="AY219" s="1258"/>
      <c r="AZ219" s="1258"/>
      <c r="BA219" s="1258"/>
      <c r="BB219" s="1258"/>
      <c r="BC219" s="1258"/>
    </row>
    <row r="220" spans="4:55" ht="14.1" customHeight="1" x14ac:dyDescent="0.3">
      <c r="D220" s="1081"/>
      <c r="E220" s="1171"/>
      <c r="F220" s="1136"/>
      <c r="G220" s="1087">
        <v>39</v>
      </c>
      <c r="H220" s="1680">
        <f>IF(ISNA(VLOOKUP($I$214,'Val-Dép'!I39:AE39,23,FALSE)),,VLOOKUP($I$214,'Val-Dép'!I39:AE39,23,FALSE))</f>
        <v>0</v>
      </c>
      <c r="I220" s="1637"/>
      <c r="J220" s="1171"/>
      <c r="K220" s="1662"/>
      <c r="P220" s="1535"/>
      <c r="Q220" s="1162"/>
      <c r="R220" s="1162"/>
      <c r="S220" s="1162"/>
      <c r="T220" s="1162"/>
      <c r="U220" s="1654"/>
      <c r="V220" s="1162"/>
      <c r="W220" s="1081"/>
      <c r="AJ220" s="1535"/>
      <c r="AK220" s="1535"/>
      <c r="AL220" s="1535"/>
      <c r="AM220" s="1535"/>
      <c r="AN220" s="1258"/>
      <c r="AO220" s="1258"/>
      <c r="AP220" s="1258"/>
      <c r="AQ220" s="1258"/>
      <c r="AR220" s="1258"/>
      <c r="AS220" s="1258"/>
      <c r="AT220" s="1258"/>
      <c r="AU220" s="1536"/>
      <c r="AV220" s="1258"/>
      <c r="AW220" s="1258"/>
      <c r="AX220" s="1258"/>
      <c r="AY220" s="1258"/>
      <c r="AZ220" s="1258"/>
      <c r="BA220" s="1258"/>
      <c r="BB220" s="1258"/>
      <c r="BC220" s="1258"/>
    </row>
    <row r="221" spans="4:55" ht="14.1" customHeight="1" thickBot="1" x14ac:dyDescent="0.35">
      <c r="D221" s="1081"/>
      <c r="E221" s="1171"/>
      <c r="F221" s="1136"/>
      <c r="G221" s="1087">
        <v>45</v>
      </c>
      <c r="H221" s="1681">
        <f>IF(ISNA(VLOOKUP($I$214,'Val-Dép'!I45:AE45,23,FALSE)),,VLOOKUP($I$214,'Val-Dép'!I45:AE45,23,FALSE))</f>
        <v>0</v>
      </c>
      <c r="I221" s="1638"/>
      <c r="J221" s="1171"/>
      <c r="K221" s="1662"/>
      <c r="P221" s="1535"/>
      <c r="Q221" s="1162"/>
      <c r="R221" s="1162"/>
      <c r="S221" s="1162"/>
      <c r="T221" s="1162"/>
      <c r="U221" s="1654"/>
      <c r="V221" s="1162"/>
      <c r="W221" s="1081"/>
      <c r="AK221" s="1535"/>
      <c r="AL221" s="1535"/>
      <c r="AM221" s="1535"/>
      <c r="AN221" s="1258"/>
      <c r="AO221" s="1258"/>
      <c r="AP221" s="1126"/>
      <c r="AQ221" s="1258"/>
      <c r="AR221" s="1258"/>
      <c r="AS221" s="1258"/>
      <c r="AT221" s="1258"/>
      <c r="AU221" s="1126"/>
      <c r="AV221" s="1258"/>
      <c r="AW221" s="1258"/>
      <c r="AX221" s="1258"/>
      <c r="AY221" s="1258"/>
      <c r="AZ221" s="1258"/>
      <c r="BA221" s="1258"/>
      <c r="BB221" s="1258"/>
      <c r="BC221" s="1258"/>
    </row>
    <row r="222" spans="4:55" ht="14.1" customHeight="1" x14ac:dyDescent="0.3">
      <c r="D222" s="1081"/>
      <c r="E222" s="1171"/>
      <c r="F222" s="1136"/>
      <c r="G222" s="1499"/>
      <c r="H222" s="1499"/>
      <c r="I222" s="1499"/>
      <c r="J222" s="1171"/>
      <c r="K222" s="1662"/>
      <c r="P222" s="1535"/>
      <c r="Q222" s="1162"/>
      <c r="R222" s="1162"/>
      <c r="S222" s="1162"/>
      <c r="T222" s="1162"/>
      <c r="U222" s="1654"/>
      <c r="V222" s="1162"/>
      <c r="W222" s="1081"/>
      <c r="AJ222" s="1566"/>
    </row>
    <row r="223" spans="4:55" ht="14.1" customHeight="1" x14ac:dyDescent="0.3">
      <c r="D223" s="1639"/>
      <c r="E223" s="1171"/>
      <c r="F223" s="1136"/>
      <c r="K223" s="1662"/>
      <c r="P223" s="1535"/>
      <c r="Q223" s="1162"/>
      <c r="R223" s="1162"/>
      <c r="S223" s="1162"/>
      <c r="T223" s="1162"/>
      <c r="U223" s="1654"/>
      <c r="V223" s="1162"/>
      <c r="W223" s="1081"/>
      <c r="AJ223" s="2237"/>
      <c r="AK223" s="1566">
        <f>'Val-Dép'!W26</f>
        <v>0</v>
      </c>
      <c r="AL223" s="1566"/>
      <c r="AM223" s="1566"/>
    </row>
    <row r="224" spans="4:55" ht="14.1" customHeight="1" x14ac:dyDescent="0.3">
      <c r="D224" s="1671"/>
      <c r="E224" s="1171"/>
      <c r="F224" s="1136"/>
      <c r="K224" s="1662"/>
      <c r="P224" s="1535"/>
      <c r="Q224" s="1162"/>
      <c r="R224" s="1162"/>
      <c r="S224" s="1162"/>
      <c r="T224" s="1162"/>
      <c r="U224" s="1654"/>
      <c r="V224" s="1162"/>
      <c r="W224" s="1081"/>
      <c r="AJ224" s="2237"/>
      <c r="AK224" s="1574">
        <f>'Val-Dép'!X46</f>
        <v>0</v>
      </c>
      <c r="AL224" s="1574"/>
      <c r="AM224" s="1499"/>
    </row>
    <row r="225" spans="4:39" ht="18" customHeight="1" x14ac:dyDescent="0.3">
      <c r="D225" s="1671"/>
      <c r="E225" s="1171"/>
      <c r="F225" s="1136"/>
      <c r="K225" s="1662"/>
      <c r="P225" s="1535"/>
      <c r="Q225" s="1162"/>
      <c r="R225" s="1162"/>
      <c r="S225" s="1162"/>
      <c r="T225" s="1162"/>
      <c r="U225" s="1654"/>
      <c r="V225" s="1162"/>
      <c r="W225" s="1081"/>
      <c r="AJ225" s="2237"/>
      <c r="AK225" s="1574">
        <f>'Val-Dép'!AD46</f>
        <v>0</v>
      </c>
      <c r="AL225" s="1574"/>
      <c r="AM225" s="1499"/>
    </row>
    <row r="226" spans="4:39" ht="14.1" customHeight="1" x14ac:dyDescent="0.3">
      <c r="D226" s="1671"/>
      <c r="E226" s="1171"/>
      <c r="F226" s="1136"/>
      <c r="K226" s="1662"/>
      <c r="P226" s="1535"/>
      <c r="Q226" s="1162"/>
      <c r="R226" s="1162"/>
      <c r="S226" s="1162"/>
      <c r="T226" s="1162"/>
      <c r="U226" s="1654"/>
      <c r="V226" s="1162"/>
      <c r="W226" s="1081"/>
      <c r="AJ226" s="2237"/>
      <c r="AK226" s="1574">
        <f>'Val-Dép'!AE46</f>
        <v>0</v>
      </c>
      <c r="AL226" s="1574"/>
      <c r="AM226" s="1499"/>
    </row>
    <row r="227" spans="4:39" ht="14.1" customHeight="1" x14ac:dyDescent="0.3">
      <c r="D227" s="1671"/>
      <c r="E227" s="1171"/>
      <c r="F227" s="1136"/>
      <c r="K227" s="1662"/>
      <c r="L227" s="1087"/>
      <c r="P227" s="1535"/>
      <c r="Q227" s="1162"/>
      <c r="R227" s="1162"/>
      <c r="S227" s="1162"/>
      <c r="T227" s="1162"/>
      <c r="U227" s="1654"/>
      <c r="V227" s="1162"/>
      <c r="W227" s="1081"/>
      <c r="AJ227" s="2237"/>
      <c r="AK227" s="1499"/>
      <c r="AL227" s="1574"/>
      <c r="AM227" s="1499"/>
    </row>
    <row r="228" spans="4:39" ht="14.1" customHeight="1" x14ac:dyDescent="0.3">
      <c r="D228" s="1671"/>
      <c r="E228" s="1639"/>
      <c r="F228" s="1136"/>
      <c r="K228" s="1662"/>
      <c r="L228" s="1087"/>
      <c r="P228" s="1535"/>
      <c r="Q228" s="1162"/>
      <c r="R228" s="1162"/>
      <c r="S228" s="1162"/>
      <c r="T228" s="1162"/>
      <c r="U228" s="1654"/>
      <c r="V228" s="1162"/>
      <c r="W228" s="1081"/>
      <c r="AJ228" s="2234"/>
      <c r="AK228" s="1499"/>
      <c r="AL228" s="1574"/>
      <c r="AM228" s="1499"/>
    </row>
    <row r="229" spans="4:39" ht="14.1" customHeight="1" x14ac:dyDescent="0.3">
      <c r="D229" s="1671"/>
      <c r="E229" s="1614"/>
      <c r="F229" s="1136"/>
      <c r="K229" s="1662"/>
      <c r="L229" s="1087"/>
      <c r="P229" s="1535"/>
      <c r="Q229" s="1162"/>
      <c r="R229" s="1162"/>
      <c r="S229" s="1162"/>
      <c r="T229" s="1162"/>
      <c r="U229" s="1654"/>
      <c r="V229" s="1162"/>
      <c r="W229" s="1081"/>
      <c r="AK229" s="1499"/>
      <c r="AL229" s="1574"/>
      <c r="AM229" s="1499"/>
    </row>
    <row r="230" spans="4:39" ht="14.1" customHeight="1" x14ac:dyDescent="0.3">
      <c r="D230" s="1671"/>
      <c r="E230" s="1614"/>
      <c r="F230" s="1136"/>
      <c r="K230" s="1393"/>
      <c r="L230" s="1087"/>
      <c r="P230" s="1535"/>
      <c r="Q230" s="1162"/>
      <c r="S230" s="1162"/>
      <c r="T230" s="1162"/>
      <c r="U230" s="1654"/>
      <c r="V230" s="1162"/>
      <c r="W230" s="1081"/>
      <c r="AK230" s="1499"/>
      <c r="AL230" s="1574"/>
      <c r="AM230" s="1499"/>
    </row>
    <row r="231" spans="4:39" ht="14.1" customHeight="1" x14ac:dyDescent="0.3">
      <c r="D231" s="1671"/>
      <c r="E231" s="1614"/>
      <c r="F231" s="1136"/>
      <c r="K231" s="1393"/>
      <c r="L231" s="1087"/>
      <c r="P231" s="1535"/>
      <c r="S231" s="1162"/>
      <c r="T231" s="1162"/>
      <c r="U231" s="1654"/>
      <c r="V231" s="1162"/>
      <c r="W231" s="1081"/>
      <c r="AK231" s="1499"/>
      <c r="AL231" s="1574"/>
      <c r="AM231" s="1499"/>
    </row>
    <row r="232" spans="4:39" ht="14.1" customHeight="1" x14ac:dyDescent="0.3">
      <c r="D232" s="1671"/>
      <c r="E232" s="1614"/>
      <c r="F232" s="1136"/>
      <c r="K232" s="1393"/>
      <c r="L232" s="1087"/>
      <c r="P232" s="1535"/>
      <c r="S232" s="1162"/>
      <c r="T232" s="1162"/>
      <c r="U232" s="1654"/>
      <c r="V232" s="1162"/>
      <c r="W232" s="1081"/>
      <c r="AJ232" s="2237"/>
      <c r="AK232" s="1499"/>
      <c r="AL232" s="1499"/>
      <c r="AM232" s="1574"/>
    </row>
    <row r="233" spans="4:39" ht="14.1" customHeight="1" x14ac:dyDescent="0.3">
      <c r="D233" s="1671"/>
      <c r="E233" s="1614"/>
      <c r="F233" s="1136"/>
      <c r="K233" s="1393"/>
      <c r="L233" s="1087"/>
      <c r="P233" s="1535"/>
      <c r="S233" s="1162"/>
      <c r="T233" s="1162"/>
      <c r="U233" s="1654"/>
      <c r="V233" s="1162"/>
      <c r="W233" s="1081"/>
      <c r="AJ233" s="2237"/>
      <c r="AK233" s="1499"/>
      <c r="AL233" s="1499"/>
      <c r="AM233" s="1574"/>
    </row>
    <row r="234" spans="4:39" ht="14.1" customHeight="1" x14ac:dyDescent="0.3">
      <c r="E234" s="1614"/>
      <c r="F234" s="1136"/>
      <c r="K234" s="1393"/>
      <c r="L234" s="1087"/>
      <c r="P234" s="1535"/>
      <c r="S234" s="1162"/>
      <c r="T234" s="1162"/>
      <c r="U234" s="1654"/>
      <c r="V234" s="1162"/>
      <c r="W234" s="1081"/>
      <c r="AJ234" s="2234"/>
      <c r="AK234" s="1499"/>
      <c r="AL234" s="1499"/>
      <c r="AM234" s="1499"/>
    </row>
    <row r="235" spans="4:39" ht="14.1" customHeight="1" x14ac:dyDescent="0.3">
      <c r="E235" s="1614"/>
      <c r="F235" s="1136"/>
      <c r="K235" s="1393"/>
      <c r="L235" s="1087"/>
      <c r="P235" s="1535"/>
      <c r="S235" s="1162"/>
      <c r="T235" s="1162"/>
      <c r="U235" s="1654"/>
      <c r="V235" s="1162"/>
      <c r="W235" s="1081"/>
      <c r="AJ235" s="2239"/>
      <c r="AL235" s="1574">
        <f>'Val-Dép'!Z46</f>
        <v>0</v>
      </c>
      <c r="AM235" s="1499"/>
    </row>
    <row r="236" spans="4:39" ht="14.1" customHeight="1" x14ac:dyDescent="0.3">
      <c r="E236" s="1614"/>
      <c r="F236" s="1136"/>
      <c r="K236" s="1393"/>
      <c r="L236" s="1087"/>
      <c r="P236" s="1535"/>
      <c r="S236" s="1162"/>
      <c r="T236" s="1162"/>
      <c r="U236" s="1654"/>
      <c r="V236" s="1162"/>
      <c r="W236" s="1081"/>
      <c r="AJ236" s="2237"/>
      <c r="AL236" s="1574">
        <f>'Val-Dép'!T26</f>
        <v>0</v>
      </c>
      <c r="AM236" s="1574"/>
    </row>
    <row r="237" spans="4:39" ht="14.1" customHeight="1" x14ac:dyDescent="0.3">
      <c r="E237" s="1614"/>
      <c r="F237" s="1136"/>
      <c r="K237" s="1393"/>
      <c r="L237" s="1087"/>
      <c r="P237" s="1535"/>
      <c r="S237" s="1162"/>
      <c r="T237" s="1162"/>
      <c r="U237" s="1654"/>
      <c r="V237" s="1162"/>
      <c r="W237" s="1081"/>
      <c r="AJ237" s="2237"/>
      <c r="AK237" s="1393"/>
      <c r="AL237" s="1393"/>
      <c r="AM237" s="1393"/>
    </row>
    <row r="238" spans="4:39" ht="14.1" customHeight="1" x14ac:dyDescent="0.3">
      <c r="E238" s="1614"/>
      <c r="F238" s="1136"/>
      <c r="K238" s="1393"/>
      <c r="L238" s="1087"/>
      <c r="P238" s="1535"/>
      <c r="S238" s="1162"/>
      <c r="T238" s="1162"/>
      <c r="U238" s="1654"/>
      <c r="V238" s="1162"/>
      <c r="W238" s="1081"/>
      <c r="AJ238" s="2237"/>
      <c r="AK238" s="1620">
        <v>300</v>
      </c>
      <c r="AL238" s="1620"/>
      <c r="AM238" s="1393"/>
    </row>
    <row r="239" spans="4:39" ht="14.1" customHeight="1" x14ac:dyDescent="0.3">
      <c r="K239" s="1393"/>
      <c r="L239" s="1087"/>
      <c r="S239" s="1162"/>
      <c r="T239" s="1162"/>
      <c r="U239" s="1654"/>
      <c r="V239" s="1162"/>
      <c r="W239" s="1081"/>
      <c r="AJ239" s="2238"/>
      <c r="AK239" s="1623"/>
      <c r="AL239" s="1623">
        <v>300</v>
      </c>
      <c r="AM239" s="1136"/>
    </row>
    <row r="240" spans="4:39" ht="14.1" customHeight="1" x14ac:dyDescent="0.25">
      <c r="K240" s="1393"/>
      <c r="L240" s="1087"/>
      <c r="S240" s="1162"/>
      <c r="T240" s="1162"/>
      <c r="U240" s="1654"/>
      <c r="V240" s="1162"/>
      <c r="W240" s="1081"/>
      <c r="AJ240" s="2236"/>
      <c r="AK240" s="1255">
        <f>SUM(AK223:AK239)</f>
        <v>300</v>
      </c>
      <c r="AL240" s="1255">
        <f>SUM(AL223:AL239)</f>
        <v>300</v>
      </c>
    </row>
    <row r="241" spans="1:38" ht="14.1" customHeight="1" x14ac:dyDescent="0.25">
      <c r="K241" s="1393"/>
      <c r="L241" s="1087"/>
      <c r="S241" s="1162"/>
      <c r="T241" s="1162"/>
      <c r="U241" s="1654"/>
      <c r="V241" s="1162"/>
      <c r="W241" s="1081"/>
      <c r="AJ241" s="2236"/>
    </row>
    <row r="242" spans="1:38" ht="14.1" customHeight="1" x14ac:dyDescent="0.25">
      <c r="K242" s="1393"/>
      <c r="L242" s="1087"/>
      <c r="T242" s="1162"/>
      <c r="U242" s="1654"/>
      <c r="V242" s="1162"/>
      <c r="W242" s="1081"/>
      <c r="AJ242" s="1136"/>
      <c r="AL242" s="1634">
        <f>AL240-AK240</f>
        <v>0</v>
      </c>
    </row>
    <row r="243" spans="1:38" ht="14.1" customHeight="1" x14ac:dyDescent="0.25">
      <c r="K243" s="1393"/>
      <c r="L243" s="1087"/>
      <c r="T243" s="1162"/>
      <c r="U243" s="1654"/>
      <c r="V243" s="1162"/>
      <c r="W243" s="1081"/>
    </row>
    <row r="244" spans="1:38" ht="14.1" customHeight="1" x14ac:dyDescent="0.25">
      <c r="K244" s="1393"/>
      <c r="L244" s="1087"/>
      <c r="T244" s="1162"/>
      <c r="U244" s="1654"/>
      <c r="V244" s="1162"/>
      <c r="W244" s="1081"/>
    </row>
    <row r="245" spans="1:38" ht="14.1" customHeight="1" x14ac:dyDescent="0.25">
      <c r="K245" s="1393"/>
      <c r="L245" s="1087"/>
      <c r="T245" s="1162"/>
      <c r="U245" s="1654"/>
      <c r="V245" s="1162"/>
      <c r="W245" s="1081"/>
    </row>
    <row r="246" spans="1:38" ht="14.1" customHeight="1" x14ac:dyDescent="0.25">
      <c r="K246" s="1393"/>
      <c r="L246" s="1087"/>
      <c r="T246" s="1162"/>
      <c r="U246" s="1654"/>
      <c r="V246" s="1162"/>
      <c r="W246" s="1081"/>
    </row>
    <row r="247" spans="1:38" ht="14.1" customHeight="1" x14ac:dyDescent="0.25">
      <c r="K247" s="1393"/>
      <c r="L247" s="1087"/>
      <c r="T247" s="1162"/>
      <c r="U247" s="1654"/>
      <c r="V247" s="1162"/>
      <c r="W247" s="1081"/>
    </row>
    <row r="248" spans="1:38" ht="14.1" customHeight="1" x14ac:dyDescent="0.25">
      <c r="K248" s="1393"/>
      <c r="L248" s="1087"/>
      <c r="T248" s="1162"/>
      <c r="U248" s="1654"/>
      <c r="V248" s="1162"/>
      <c r="W248" s="1081"/>
    </row>
    <row r="249" spans="1:38" ht="14.1" customHeight="1" x14ac:dyDescent="0.25">
      <c r="K249" s="1393"/>
      <c r="L249" s="1087"/>
      <c r="T249" s="1162"/>
      <c r="U249" s="1654"/>
      <c r="V249" s="1162"/>
      <c r="W249" s="1081"/>
    </row>
    <row r="250" spans="1:38" ht="14.1" customHeight="1" x14ac:dyDescent="0.25">
      <c r="C250" s="1136"/>
      <c r="L250" s="1087"/>
      <c r="T250" s="1162"/>
      <c r="U250" s="1654"/>
      <c r="V250" s="1162"/>
      <c r="W250" s="1081"/>
    </row>
    <row r="251" spans="1:38" ht="14.1" customHeight="1" x14ac:dyDescent="0.25">
      <c r="C251" s="1136"/>
      <c r="L251" s="1087"/>
      <c r="T251" s="1162"/>
      <c r="U251" s="1654"/>
      <c r="V251" s="1162"/>
      <c r="W251" s="1081"/>
    </row>
    <row r="252" spans="1:38" ht="14.1" customHeight="1" x14ac:dyDescent="0.25">
      <c r="C252" s="1136"/>
      <c r="L252" s="1087"/>
      <c r="T252" s="1162"/>
      <c r="U252" s="1654"/>
      <c r="V252" s="1162"/>
      <c r="W252" s="1081"/>
    </row>
    <row r="253" spans="1:38" ht="14.1" customHeight="1" x14ac:dyDescent="0.25">
      <c r="C253" s="1136"/>
      <c r="L253" s="1087"/>
      <c r="T253" s="1162"/>
      <c r="U253" s="1654"/>
      <c r="V253" s="1162"/>
      <c r="W253" s="1081"/>
    </row>
    <row r="254" spans="1:38" s="1535" customFormat="1" ht="14.1" customHeight="1" x14ac:dyDescent="0.3">
      <c r="A254" s="1087"/>
      <c r="B254" s="1087"/>
      <c r="C254" s="1136"/>
      <c r="D254" s="1087"/>
      <c r="E254" s="1087"/>
      <c r="F254" s="1087"/>
      <c r="G254" s="1087"/>
      <c r="H254" s="1087"/>
      <c r="I254" s="1087"/>
      <c r="J254" s="1087"/>
      <c r="K254" s="1087"/>
      <c r="L254" s="1087"/>
      <c r="M254" s="1087"/>
      <c r="N254" s="1087"/>
      <c r="O254" s="1087"/>
      <c r="P254" s="1087"/>
      <c r="Q254" s="1087"/>
      <c r="R254" s="1087"/>
      <c r="S254" s="1087"/>
      <c r="T254" s="1162"/>
      <c r="U254" s="1654"/>
      <c r="V254" s="1162"/>
      <c r="W254" s="1081"/>
      <c r="X254" s="1087"/>
      <c r="Y254" s="1087"/>
      <c r="Z254" s="1087"/>
      <c r="AA254" s="1087"/>
      <c r="AB254" s="1087"/>
      <c r="AC254" s="1087"/>
      <c r="AD254" s="1087"/>
      <c r="AE254" s="1087"/>
      <c r="AF254" s="1087"/>
      <c r="AG254" s="1087"/>
      <c r="AH254" s="1087"/>
      <c r="AI254" s="1087"/>
    </row>
    <row r="255" spans="1:38" s="1535" customFormat="1" ht="14.1" customHeight="1" x14ac:dyDescent="0.3">
      <c r="A255" s="1087"/>
      <c r="B255" s="1087"/>
      <c r="C255" s="1136"/>
      <c r="D255" s="1087"/>
      <c r="E255" s="1087"/>
      <c r="F255" s="1087"/>
      <c r="G255" s="1087"/>
      <c r="H255" s="1087"/>
      <c r="I255" s="1087"/>
      <c r="J255" s="1087"/>
      <c r="K255" s="1087"/>
      <c r="L255" s="1087"/>
      <c r="M255" s="1087"/>
      <c r="N255" s="1087"/>
      <c r="O255" s="1087"/>
      <c r="P255" s="1087"/>
      <c r="Q255" s="1087"/>
      <c r="R255" s="1087"/>
      <c r="S255" s="1087"/>
      <c r="T255" s="1087"/>
      <c r="U255" s="1136"/>
      <c r="V255" s="1087"/>
      <c r="W255" s="1087"/>
      <c r="X255" s="1087"/>
      <c r="Y255" s="1087"/>
      <c r="Z255" s="1087"/>
      <c r="AA255" s="1087"/>
      <c r="AB255" s="1087"/>
      <c r="AC255" s="1087"/>
      <c r="AD255" s="1087"/>
      <c r="AE255" s="1087"/>
      <c r="AF255" s="1087"/>
      <c r="AG255" s="1087"/>
      <c r="AH255" s="1087"/>
      <c r="AI255" s="1087"/>
    </row>
    <row r="256" spans="1:38" s="1535" customFormat="1" ht="14.1" customHeight="1" x14ac:dyDescent="0.3">
      <c r="A256" s="1087"/>
      <c r="B256" s="1087"/>
      <c r="C256" s="1136"/>
      <c r="D256" s="1087"/>
      <c r="E256" s="1087"/>
      <c r="F256" s="1087"/>
      <c r="G256" s="1087"/>
      <c r="H256" s="1087"/>
      <c r="I256" s="1087"/>
      <c r="J256" s="1087"/>
      <c r="K256" s="1087"/>
      <c r="L256" s="1087"/>
      <c r="M256" s="1087"/>
      <c r="N256" s="1087"/>
      <c r="O256" s="1087"/>
      <c r="P256" s="1087"/>
      <c r="Q256" s="1087"/>
      <c r="R256" s="1087"/>
      <c r="S256" s="1087"/>
      <c r="T256" s="1087"/>
      <c r="U256" s="1136"/>
      <c r="V256" s="1087"/>
      <c r="W256" s="1087"/>
      <c r="X256" s="1087"/>
      <c r="Y256" s="1087"/>
      <c r="Z256" s="1087"/>
      <c r="AA256" s="1087"/>
      <c r="AB256" s="1087"/>
      <c r="AC256" s="1087"/>
      <c r="AD256" s="1087"/>
      <c r="AE256" s="1087"/>
      <c r="AF256" s="1087"/>
      <c r="AG256" s="1087"/>
      <c r="AH256" s="1087"/>
      <c r="AI256" s="1087"/>
    </row>
    <row r="257" spans="1:35" s="1535" customFormat="1" ht="14.1" customHeight="1" x14ac:dyDescent="0.3">
      <c r="A257" s="1087"/>
      <c r="B257" s="1087"/>
      <c r="C257" s="1136"/>
      <c r="D257" s="1087"/>
      <c r="E257" s="1087"/>
      <c r="F257" s="1087"/>
      <c r="G257" s="1087"/>
      <c r="H257" s="1087"/>
      <c r="I257" s="1087"/>
      <c r="J257" s="1087"/>
      <c r="K257" s="1087"/>
      <c r="L257" s="1087"/>
      <c r="M257" s="1087"/>
      <c r="N257" s="1087"/>
      <c r="O257" s="1087"/>
      <c r="P257" s="1087"/>
      <c r="Q257" s="1087"/>
      <c r="R257" s="1087"/>
      <c r="S257" s="1087"/>
      <c r="T257" s="1087"/>
      <c r="U257" s="1136"/>
      <c r="V257" s="1087"/>
      <c r="W257" s="1087"/>
      <c r="X257" s="1087"/>
      <c r="Y257" s="1087"/>
      <c r="Z257" s="1087"/>
      <c r="AA257" s="1087"/>
      <c r="AB257" s="1087"/>
      <c r="AC257" s="1087"/>
      <c r="AD257" s="1087"/>
      <c r="AE257" s="1087"/>
      <c r="AF257" s="1087"/>
      <c r="AG257" s="1087"/>
      <c r="AH257" s="1087"/>
      <c r="AI257" s="1087"/>
    </row>
    <row r="258" spans="1:35" s="1535" customFormat="1" ht="14.1" customHeight="1" x14ac:dyDescent="0.3">
      <c r="A258" s="1087"/>
      <c r="B258" s="1087"/>
      <c r="C258" s="1136"/>
      <c r="D258" s="1087"/>
      <c r="E258" s="1087"/>
      <c r="F258" s="1087"/>
      <c r="G258" s="1087"/>
      <c r="H258" s="1087"/>
      <c r="I258" s="1087"/>
      <c r="J258" s="1087"/>
      <c r="K258" s="1087"/>
      <c r="L258" s="1087"/>
      <c r="M258" s="1087"/>
      <c r="N258" s="1087"/>
      <c r="O258" s="1087"/>
      <c r="P258" s="1087"/>
      <c r="Q258" s="1087"/>
      <c r="R258" s="1087"/>
      <c r="S258" s="1087"/>
      <c r="T258" s="1087"/>
      <c r="U258" s="1136"/>
      <c r="V258" s="1087"/>
      <c r="W258" s="1087"/>
      <c r="X258" s="1087"/>
      <c r="Y258" s="1087"/>
      <c r="Z258" s="1087"/>
      <c r="AA258" s="1087"/>
      <c r="AB258" s="1087"/>
      <c r="AC258" s="1087"/>
      <c r="AD258" s="1087"/>
      <c r="AE258" s="1087"/>
      <c r="AF258" s="1087"/>
      <c r="AG258" s="1087"/>
      <c r="AH258" s="1087"/>
      <c r="AI258" s="1087"/>
    </row>
    <row r="259" spans="1:35" s="1535" customFormat="1" ht="14.1" customHeight="1" x14ac:dyDescent="0.3">
      <c r="A259" s="1087"/>
      <c r="B259" s="1087"/>
      <c r="C259" s="1136"/>
      <c r="D259" s="1087"/>
      <c r="E259" s="1087"/>
      <c r="F259" s="1087"/>
      <c r="G259" s="1087"/>
      <c r="H259" s="1087"/>
      <c r="I259" s="1087"/>
      <c r="J259" s="1087"/>
      <c r="K259" s="1087"/>
      <c r="L259" s="1087"/>
      <c r="M259" s="1087"/>
      <c r="N259" s="1087"/>
      <c r="O259" s="1087"/>
      <c r="P259" s="1087"/>
      <c r="Q259" s="1087"/>
      <c r="R259" s="1087"/>
      <c r="S259" s="1087"/>
      <c r="T259" s="1087"/>
      <c r="U259" s="1136"/>
      <c r="V259" s="1087"/>
      <c r="W259" s="1087"/>
      <c r="X259" s="1087"/>
      <c r="Y259" s="1087"/>
      <c r="Z259" s="1087"/>
      <c r="AA259" s="1087"/>
      <c r="AB259" s="1087"/>
      <c r="AC259" s="1087"/>
      <c r="AD259" s="1087"/>
      <c r="AE259" s="1087"/>
      <c r="AF259" s="1087"/>
      <c r="AG259" s="1087"/>
      <c r="AH259" s="1087"/>
      <c r="AI259" s="1087"/>
    </row>
    <row r="260" spans="1:35" s="1535" customFormat="1" ht="14.1" customHeight="1" x14ac:dyDescent="0.3">
      <c r="A260" s="1087"/>
      <c r="B260" s="1087"/>
      <c r="C260" s="1136"/>
      <c r="D260" s="1087"/>
      <c r="E260" s="1087"/>
      <c r="F260" s="1087"/>
      <c r="G260" s="1087"/>
      <c r="H260" s="1087"/>
      <c r="I260" s="1087"/>
      <c r="J260" s="1087"/>
      <c r="K260" s="1087"/>
      <c r="L260" s="1087"/>
      <c r="M260" s="1087"/>
      <c r="N260" s="1087"/>
      <c r="O260" s="1087"/>
      <c r="P260" s="1087"/>
      <c r="Q260" s="1087"/>
      <c r="R260" s="1087"/>
      <c r="S260" s="1087"/>
      <c r="T260" s="1087"/>
      <c r="U260" s="1136"/>
      <c r="V260" s="1087"/>
      <c r="W260" s="1087"/>
      <c r="X260" s="1087"/>
      <c r="Y260" s="1087"/>
      <c r="Z260" s="1087"/>
      <c r="AA260" s="1087"/>
      <c r="AB260" s="1087"/>
      <c r="AC260" s="1087"/>
      <c r="AD260" s="1087"/>
      <c r="AE260" s="1087"/>
      <c r="AF260" s="1087"/>
      <c r="AG260" s="1087"/>
      <c r="AH260" s="1087"/>
      <c r="AI260" s="1087"/>
    </row>
    <row r="261" spans="1:35" s="1535" customFormat="1" ht="14.1" customHeight="1" x14ac:dyDescent="0.3">
      <c r="A261" s="1087"/>
      <c r="B261" s="1087"/>
      <c r="C261" s="1136"/>
      <c r="D261" s="1087"/>
      <c r="E261" s="1087"/>
      <c r="F261" s="1087"/>
      <c r="G261" s="1087"/>
      <c r="H261" s="1087"/>
      <c r="I261" s="1087"/>
      <c r="J261" s="1087"/>
      <c r="K261" s="1087"/>
      <c r="L261" s="1087"/>
      <c r="M261" s="1087"/>
      <c r="N261" s="1087"/>
      <c r="O261" s="1087"/>
      <c r="P261" s="1087"/>
      <c r="Q261" s="1087"/>
      <c r="R261" s="1087"/>
      <c r="S261" s="1087"/>
      <c r="T261" s="1087"/>
      <c r="U261" s="1136"/>
      <c r="V261" s="1087"/>
      <c r="W261" s="1087"/>
      <c r="X261" s="1087"/>
      <c r="Y261" s="1087"/>
      <c r="Z261" s="1087"/>
      <c r="AA261" s="1087"/>
      <c r="AB261" s="1087"/>
      <c r="AC261" s="1087"/>
      <c r="AD261" s="1087"/>
      <c r="AE261" s="1087"/>
      <c r="AF261" s="1087"/>
      <c r="AG261" s="1087"/>
      <c r="AH261" s="1087"/>
      <c r="AI261" s="1087"/>
    </row>
    <row r="262" spans="1:35" s="1535" customFormat="1" ht="14.1" customHeight="1" x14ac:dyDescent="0.3">
      <c r="A262" s="1087"/>
      <c r="B262" s="1087"/>
      <c r="C262" s="1136"/>
      <c r="D262" s="1087"/>
      <c r="E262" s="1087"/>
      <c r="F262" s="1087"/>
      <c r="G262" s="1087"/>
      <c r="H262" s="1087"/>
      <c r="I262" s="1087"/>
      <c r="J262" s="1087"/>
      <c r="K262" s="1087"/>
      <c r="L262" s="1087"/>
      <c r="M262" s="1087"/>
      <c r="N262" s="1087"/>
      <c r="O262" s="1087"/>
      <c r="P262" s="1087"/>
      <c r="Q262" s="1087"/>
      <c r="R262" s="1087"/>
      <c r="S262" s="1087"/>
      <c r="T262" s="1087"/>
      <c r="U262" s="1136"/>
      <c r="V262" s="1087"/>
      <c r="W262" s="1087"/>
      <c r="X262" s="1087"/>
      <c r="Y262" s="1087"/>
      <c r="Z262" s="1087"/>
      <c r="AA262" s="1087"/>
      <c r="AB262" s="1087"/>
      <c r="AC262" s="1087"/>
      <c r="AD262" s="1087"/>
      <c r="AE262" s="1087"/>
      <c r="AF262" s="1087"/>
      <c r="AG262" s="1087"/>
      <c r="AH262" s="1087"/>
      <c r="AI262" s="1087"/>
    </row>
    <row r="263" spans="1:35" s="1535" customFormat="1" ht="14.1" customHeight="1" x14ac:dyDescent="0.3">
      <c r="A263" s="1087"/>
      <c r="B263" s="1087"/>
      <c r="C263" s="1136"/>
      <c r="D263" s="1087"/>
      <c r="E263" s="1087"/>
      <c r="F263" s="1087"/>
      <c r="G263" s="1087"/>
      <c r="H263" s="1087"/>
      <c r="I263" s="1087"/>
      <c r="J263" s="1087"/>
      <c r="K263" s="1087"/>
      <c r="L263" s="1087"/>
      <c r="M263" s="1087"/>
      <c r="N263" s="1087"/>
      <c r="O263" s="1087"/>
      <c r="P263" s="1087"/>
      <c r="Q263" s="1087"/>
      <c r="R263" s="1087"/>
      <c r="S263" s="1087"/>
      <c r="T263" s="1087"/>
      <c r="U263" s="1136"/>
      <c r="V263" s="1087"/>
      <c r="W263" s="1087"/>
      <c r="X263" s="1087"/>
      <c r="Y263" s="1087"/>
      <c r="Z263" s="1087"/>
      <c r="AA263" s="1087"/>
      <c r="AB263" s="1087"/>
      <c r="AC263" s="1087"/>
      <c r="AD263" s="1087"/>
      <c r="AE263" s="1087"/>
      <c r="AF263" s="1087"/>
      <c r="AG263" s="1087"/>
      <c r="AH263" s="1087"/>
      <c r="AI263" s="1087"/>
    </row>
    <row r="264" spans="1:35" s="1535" customFormat="1" ht="14.1" customHeight="1" x14ac:dyDescent="0.3">
      <c r="A264" s="1087"/>
      <c r="B264" s="1087"/>
      <c r="C264" s="1136"/>
      <c r="D264" s="1087"/>
      <c r="E264" s="1087"/>
      <c r="F264" s="1087"/>
      <c r="G264" s="1087"/>
      <c r="H264" s="1087"/>
      <c r="I264" s="1087"/>
      <c r="J264" s="1087"/>
      <c r="K264" s="1087"/>
      <c r="L264" s="1087"/>
      <c r="M264" s="1087"/>
      <c r="N264" s="1087"/>
      <c r="O264" s="1087"/>
      <c r="P264" s="1087"/>
      <c r="Q264" s="1087"/>
      <c r="R264" s="1087"/>
      <c r="S264" s="1087"/>
      <c r="T264" s="1087"/>
      <c r="U264" s="1136"/>
      <c r="V264" s="1087"/>
      <c r="W264" s="1087"/>
      <c r="X264" s="1087"/>
      <c r="Y264" s="1087"/>
      <c r="Z264" s="1087"/>
      <c r="AA264" s="1087"/>
      <c r="AB264" s="1087"/>
      <c r="AC264" s="1087"/>
      <c r="AD264" s="1087"/>
      <c r="AE264" s="1087"/>
      <c r="AF264" s="1087"/>
      <c r="AG264" s="1087"/>
      <c r="AH264" s="1087"/>
    </row>
    <row r="265" spans="1:35" ht="14.1" customHeight="1" x14ac:dyDescent="0.3">
      <c r="C265" s="1136"/>
      <c r="L265" s="1087"/>
      <c r="AH265" s="1535"/>
      <c r="AI265" s="1535"/>
    </row>
    <row r="266" spans="1:35" ht="14.1" customHeight="1" x14ac:dyDescent="0.3">
      <c r="C266" s="1136"/>
      <c r="L266" s="1087"/>
      <c r="AH266" s="1535"/>
      <c r="AI266" s="1535"/>
    </row>
    <row r="267" spans="1:35" ht="14.1" customHeight="1" x14ac:dyDescent="0.3">
      <c r="C267" s="1136"/>
      <c r="L267" s="1087"/>
      <c r="AH267" s="1535"/>
      <c r="AI267" s="1535"/>
    </row>
    <row r="268" spans="1:35" ht="14.1" customHeight="1" x14ac:dyDescent="0.3">
      <c r="C268" s="1136"/>
      <c r="L268" s="1087"/>
      <c r="AH268" s="1535"/>
      <c r="AI268" s="1535"/>
    </row>
    <row r="269" spans="1:35" ht="14.1" customHeight="1" x14ac:dyDescent="0.3">
      <c r="C269" s="1136"/>
      <c r="L269" s="1087"/>
      <c r="AH269" s="1535"/>
      <c r="AI269" s="1535"/>
    </row>
    <row r="270" spans="1:35" ht="14.1" customHeight="1" x14ac:dyDescent="0.3">
      <c r="C270" s="1136"/>
      <c r="L270" s="1087"/>
      <c r="AH270" s="1535"/>
      <c r="AI270" s="1535"/>
    </row>
    <row r="271" spans="1:35" ht="14.1" customHeight="1" x14ac:dyDescent="0.3">
      <c r="C271" s="1136"/>
      <c r="L271" s="1087"/>
      <c r="S271" s="1535"/>
      <c r="AH271" s="1535"/>
      <c r="AI271" s="1535"/>
    </row>
    <row r="272" spans="1:35" ht="14.1" customHeight="1" x14ac:dyDescent="0.3">
      <c r="C272" s="1136"/>
      <c r="L272" s="1087"/>
      <c r="S272" s="1535"/>
      <c r="AH272" s="1535"/>
      <c r="AI272" s="1535"/>
    </row>
    <row r="273" spans="3:35" ht="14.1" customHeight="1" x14ac:dyDescent="0.3">
      <c r="C273" s="1136"/>
      <c r="L273" s="1087"/>
      <c r="S273" s="1535"/>
      <c r="AH273" s="1535"/>
      <c r="AI273" s="1535"/>
    </row>
    <row r="274" spans="3:35" ht="14.1" customHeight="1" x14ac:dyDescent="0.3">
      <c r="C274" s="1136"/>
      <c r="L274" s="1087"/>
      <c r="S274" s="1535"/>
      <c r="U274" s="1087"/>
      <c r="AH274" s="1535"/>
      <c r="AI274" s="1535"/>
    </row>
    <row r="275" spans="3:35" ht="14.1" customHeight="1" x14ac:dyDescent="0.3">
      <c r="C275" s="1136"/>
      <c r="L275" s="1087"/>
      <c r="S275" s="1535"/>
      <c r="U275" s="1087"/>
      <c r="AH275" s="1535"/>
    </row>
    <row r="276" spans="3:35" ht="14.1" customHeight="1" x14ac:dyDescent="0.3">
      <c r="C276" s="1136"/>
      <c r="L276" s="1087"/>
      <c r="S276" s="1535"/>
      <c r="U276" s="1087"/>
    </row>
    <row r="277" spans="3:35" ht="14.1" customHeight="1" x14ac:dyDescent="0.3">
      <c r="C277" s="1136"/>
      <c r="L277" s="1087"/>
      <c r="S277" s="1535"/>
      <c r="U277" s="1087"/>
      <c r="AE277" s="1535"/>
    </row>
    <row r="278" spans="3:35" ht="14.1" customHeight="1" x14ac:dyDescent="0.3">
      <c r="C278" s="1136"/>
      <c r="L278" s="1087"/>
      <c r="S278" s="1535"/>
      <c r="U278" s="1087"/>
      <c r="Z278" s="1535"/>
      <c r="AA278" s="1535"/>
      <c r="AB278" s="1535"/>
      <c r="AC278" s="1535"/>
      <c r="AD278" s="1535"/>
      <c r="AE278" s="1535"/>
      <c r="AF278" s="1535"/>
      <c r="AG278" s="1535"/>
    </row>
    <row r="279" spans="3:35" ht="14.1" customHeight="1" x14ac:dyDescent="0.3">
      <c r="C279" s="1136"/>
      <c r="L279" s="1087"/>
      <c r="S279" s="1535"/>
      <c r="U279" s="1087"/>
      <c r="W279" s="1535"/>
      <c r="X279" s="1535"/>
      <c r="Y279" s="1535"/>
      <c r="Z279" s="1535"/>
      <c r="AA279" s="1535"/>
      <c r="AB279" s="1535"/>
      <c r="AC279" s="1535"/>
      <c r="AD279" s="1535"/>
      <c r="AE279" s="1535"/>
      <c r="AF279" s="1535"/>
      <c r="AG279" s="1535"/>
    </row>
    <row r="280" spans="3:35" ht="14.1" customHeight="1" x14ac:dyDescent="0.3">
      <c r="C280" s="1136"/>
      <c r="L280" s="1087"/>
      <c r="S280" s="1535"/>
      <c r="T280" s="1535"/>
      <c r="U280" s="1535"/>
      <c r="V280" s="1535"/>
      <c r="W280" s="1535"/>
      <c r="X280" s="1535"/>
      <c r="Y280" s="1535"/>
      <c r="Z280" s="1535"/>
      <c r="AA280" s="1535"/>
      <c r="AB280" s="1535"/>
      <c r="AC280" s="1535"/>
      <c r="AD280" s="1535"/>
      <c r="AE280" s="1535"/>
      <c r="AF280" s="1535"/>
      <c r="AG280" s="1535"/>
    </row>
    <row r="281" spans="3:35" ht="14.1" customHeight="1" x14ac:dyDescent="0.3">
      <c r="C281" s="1136"/>
      <c r="L281" s="1087"/>
      <c r="S281" s="1535"/>
      <c r="T281" s="1535"/>
      <c r="U281" s="1535"/>
      <c r="V281" s="1535"/>
      <c r="W281" s="1535"/>
      <c r="X281" s="1535"/>
      <c r="Y281" s="1535"/>
      <c r="Z281" s="1535"/>
      <c r="AA281" s="1535"/>
      <c r="AB281" s="1535"/>
      <c r="AC281" s="1535"/>
      <c r="AD281" s="1535"/>
      <c r="AE281" s="1535"/>
      <c r="AF281" s="1535"/>
      <c r="AG281" s="1535"/>
    </row>
    <row r="282" spans="3:35" ht="14.1" customHeight="1" x14ac:dyDescent="0.3">
      <c r="C282" s="1136"/>
      <c r="L282" s="1087"/>
      <c r="T282" s="1535"/>
      <c r="U282" s="1535"/>
      <c r="V282" s="1535"/>
      <c r="W282" s="1535"/>
      <c r="X282" s="1535"/>
      <c r="Y282" s="1535"/>
      <c r="Z282" s="1535"/>
      <c r="AA282" s="1535"/>
      <c r="AB282" s="1535"/>
      <c r="AC282" s="1535"/>
      <c r="AD282" s="1535"/>
      <c r="AE282" s="1535"/>
      <c r="AF282" s="1535"/>
      <c r="AG282" s="1535"/>
    </row>
    <row r="283" spans="3:35" ht="14.1" customHeight="1" x14ac:dyDescent="0.3">
      <c r="C283" s="1136"/>
      <c r="L283" s="1087"/>
      <c r="T283" s="1535"/>
      <c r="U283" s="1535"/>
      <c r="V283" s="1535"/>
      <c r="W283" s="1535"/>
      <c r="X283" s="1535"/>
      <c r="Y283" s="1535"/>
      <c r="Z283" s="1535"/>
      <c r="AA283" s="1535"/>
      <c r="AB283" s="1535"/>
      <c r="AC283" s="1535"/>
      <c r="AD283" s="1535"/>
      <c r="AE283" s="1535"/>
      <c r="AF283" s="1535"/>
      <c r="AG283" s="1535"/>
    </row>
    <row r="284" spans="3:35" ht="14.1" customHeight="1" x14ac:dyDescent="0.3">
      <c r="C284" s="1136"/>
      <c r="L284" s="1087"/>
      <c r="T284" s="1535"/>
      <c r="U284" s="1535"/>
      <c r="V284" s="1535"/>
      <c r="W284" s="1535"/>
      <c r="X284" s="1535"/>
      <c r="Y284" s="1535"/>
      <c r="Z284" s="1535"/>
      <c r="AA284" s="1535"/>
      <c r="AB284" s="1535"/>
      <c r="AC284" s="1535"/>
      <c r="AD284" s="1535"/>
      <c r="AE284" s="1535"/>
      <c r="AF284" s="1535"/>
      <c r="AG284" s="1535"/>
    </row>
    <row r="285" spans="3:35" ht="14.1" customHeight="1" x14ac:dyDescent="0.3">
      <c r="C285" s="1136"/>
      <c r="L285" s="1087"/>
      <c r="T285" s="1535"/>
      <c r="U285" s="1535"/>
      <c r="V285" s="1535"/>
      <c r="W285" s="1535"/>
      <c r="X285" s="1535"/>
      <c r="Y285" s="1535"/>
      <c r="Z285" s="1535"/>
      <c r="AA285" s="1535"/>
      <c r="AB285" s="1535"/>
      <c r="AC285" s="1535"/>
      <c r="AD285" s="1535"/>
      <c r="AE285" s="1535"/>
      <c r="AF285" s="1535"/>
      <c r="AG285" s="1535"/>
    </row>
    <row r="286" spans="3:35" ht="14.1" customHeight="1" x14ac:dyDescent="0.3">
      <c r="C286" s="1136"/>
      <c r="L286" s="1087"/>
      <c r="T286" s="1535"/>
      <c r="U286" s="1535"/>
      <c r="V286" s="1535"/>
      <c r="W286" s="1535"/>
      <c r="X286" s="1535"/>
      <c r="Y286" s="1535"/>
      <c r="Z286" s="1535"/>
      <c r="AA286" s="1535"/>
      <c r="AB286" s="1535"/>
      <c r="AC286" s="1535"/>
      <c r="AD286" s="1535"/>
      <c r="AE286" s="1535"/>
      <c r="AF286" s="1535"/>
      <c r="AG286" s="1535"/>
    </row>
    <row r="287" spans="3:35" ht="14.1" customHeight="1" x14ac:dyDescent="0.3">
      <c r="C287" s="1136"/>
      <c r="L287" s="1087"/>
      <c r="T287" s="1535"/>
      <c r="U287" s="1535"/>
      <c r="V287" s="1535"/>
      <c r="W287" s="1535"/>
      <c r="X287" s="1535"/>
      <c r="Y287" s="1535"/>
      <c r="Z287" s="1535"/>
      <c r="AA287" s="1535"/>
      <c r="AB287" s="1535"/>
      <c r="AC287" s="1535"/>
      <c r="AD287" s="1535"/>
      <c r="AE287" s="1535"/>
      <c r="AF287" s="1535"/>
      <c r="AG287" s="1535"/>
    </row>
    <row r="288" spans="3:35" ht="14.1" customHeight="1" x14ac:dyDescent="0.3">
      <c r="C288" s="1136"/>
      <c r="L288" s="1087"/>
      <c r="T288" s="1535"/>
      <c r="U288" s="1535"/>
      <c r="V288" s="1535"/>
      <c r="W288" s="1535"/>
      <c r="X288" s="1535"/>
      <c r="Y288" s="1535"/>
      <c r="Z288" s="1535"/>
      <c r="AA288" s="1535"/>
      <c r="AB288" s="1535"/>
      <c r="AC288" s="1535"/>
      <c r="AD288" s="1535"/>
      <c r="AF288" s="1535"/>
      <c r="AG288" s="1535"/>
    </row>
    <row r="289" spans="3:25" ht="14.1" customHeight="1" x14ac:dyDescent="0.3">
      <c r="C289" s="1136"/>
      <c r="L289" s="1087"/>
      <c r="T289" s="1535"/>
      <c r="U289" s="1535"/>
      <c r="V289" s="1535"/>
      <c r="W289" s="1535"/>
      <c r="X289" s="1535"/>
      <c r="Y289" s="1535"/>
    </row>
    <row r="290" spans="3:25" ht="14.1" customHeight="1" x14ac:dyDescent="0.3">
      <c r="C290" s="1136"/>
      <c r="L290" s="1087"/>
      <c r="T290" s="1535"/>
      <c r="U290" s="1535"/>
      <c r="V290" s="1535"/>
    </row>
    <row r="291" spans="3:25" ht="14.1" customHeight="1" x14ac:dyDescent="0.25">
      <c r="C291" s="1136"/>
      <c r="L291" s="1087"/>
      <c r="U291" s="1087"/>
    </row>
    <row r="292" spans="3:25" ht="14.1" customHeight="1" x14ac:dyDescent="0.25">
      <c r="C292" s="1136"/>
      <c r="L292" s="1087"/>
      <c r="U292" s="1087"/>
    </row>
    <row r="293" spans="3:25" ht="14.1" customHeight="1" x14ac:dyDescent="0.25">
      <c r="C293" s="1136"/>
      <c r="L293" s="1087"/>
      <c r="U293" s="1087"/>
    </row>
    <row r="294" spans="3:25" ht="14.1" customHeight="1" x14ac:dyDescent="0.25">
      <c r="C294" s="1136"/>
      <c r="L294" s="1087"/>
      <c r="U294" s="1087"/>
    </row>
    <row r="295" spans="3:25" ht="14.1" customHeight="1" x14ac:dyDescent="0.25">
      <c r="C295" s="1136"/>
      <c r="L295" s="1087"/>
      <c r="U295" s="1087"/>
    </row>
    <row r="296" spans="3:25" ht="14.1" customHeight="1" x14ac:dyDescent="0.25">
      <c r="C296" s="1136"/>
      <c r="L296" s="1087"/>
      <c r="U296" s="1087"/>
    </row>
    <row r="297" spans="3:25" ht="14.1" customHeight="1" x14ac:dyDescent="0.25">
      <c r="C297" s="1136"/>
      <c r="L297" s="1087"/>
      <c r="U297" s="1087"/>
    </row>
    <row r="298" spans="3:25" ht="14.1" customHeight="1" x14ac:dyDescent="0.25">
      <c r="C298" s="1136"/>
      <c r="L298" s="1087"/>
      <c r="U298" s="1087"/>
    </row>
    <row r="299" spans="3:25" ht="14.1" customHeight="1" x14ac:dyDescent="0.25">
      <c r="C299" s="1136"/>
      <c r="L299" s="1087"/>
      <c r="U299" s="1087"/>
    </row>
    <row r="300" spans="3:25" ht="14.1" customHeight="1" x14ac:dyDescent="0.25">
      <c r="C300" s="1136"/>
      <c r="L300" s="1087"/>
      <c r="U300" s="1087"/>
    </row>
    <row r="301" spans="3:25" ht="14.1" customHeight="1" x14ac:dyDescent="0.25">
      <c r="C301" s="1136"/>
      <c r="L301" s="1087"/>
      <c r="U301" s="1087"/>
    </row>
    <row r="302" spans="3:25" ht="14.1" customHeight="1" x14ac:dyDescent="0.25">
      <c r="C302" s="1136"/>
      <c r="L302" s="1087"/>
      <c r="U302" s="1087"/>
    </row>
    <row r="303" spans="3:25" ht="14.1" customHeight="1" x14ac:dyDescent="0.25">
      <c r="C303" s="1136"/>
      <c r="L303" s="1087"/>
      <c r="U303" s="1087"/>
    </row>
    <row r="304" spans="3:25" ht="14.1" customHeight="1" x14ac:dyDescent="0.25">
      <c r="C304" s="1136"/>
      <c r="L304" s="1087"/>
      <c r="U304" s="1087"/>
    </row>
    <row r="305" spans="3:21" ht="14.1" customHeight="1" x14ac:dyDescent="0.25">
      <c r="C305" s="1136"/>
      <c r="L305" s="1087"/>
      <c r="U305" s="1087"/>
    </row>
    <row r="306" spans="3:21" ht="15" customHeight="1" x14ac:dyDescent="0.25">
      <c r="C306" s="1136"/>
      <c r="L306" s="1087"/>
      <c r="U306" s="1087"/>
    </row>
    <row r="307" spans="3:21" ht="15" customHeight="1" x14ac:dyDescent="0.25">
      <c r="C307" s="1136"/>
      <c r="L307" s="1087"/>
      <c r="U307" s="1087"/>
    </row>
    <row r="308" spans="3:21" ht="15" customHeight="1" x14ac:dyDescent="0.25">
      <c r="C308" s="1136"/>
      <c r="L308" s="1087"/>
      <c r="U308" s="1087"/>
    </row>
    <row r="309" spans="3:21" ht="15" customHeight="1" x14ac:dyDescent="0.25">
      <c r="C309" s="1136"/>
      <c r="L309" s="1087"/>
      <c r="U309" s="1087"/>
    </row>
    <row r="310" spans="3:21" ht="15" customHeight="1" x14ac:dyDescent="0.25">
      <c r="C310" s="1136"/>
      <c r="L310" s="1087"/>
      <c r="U310" s="1087"/>
    </row>
    <row r="311" spans="3:21" ht="15" customHeight="1" x14ac:dyDescent="0.25">
      <c r="C311" s="1136"/>
      <c r="L311" s="1087"/>
      <c r="U311" s="1087"/>
    </row>
    <row r="312" spans="3:21" ht="15" customHeight="1" x14ac:dyDescent="0.25">
      <c r="C312" s="1136"/>
      <c r="L312" s="1087"/>
      <c r="U312" s="1087"/>
    </row>
    <row r="313" spans="3:21" ht="15" customHeight="1" x14ac:dyDescent="0.25">
      <c r="C313" s="1136"/>
      <c r="L313" s="1087"/>
      <c r="U313" s="1087"/>
    </row>
    <row r="314" spans="3:21" ht="15" customHeight="1" x14ac:dyDescent="0.25">
      <c r="C314" s="1136"/>
      <c r="L314" s="1087"/>
      <c r="U314" s="1087"/>
    </row>
    <row r="315" spans="3:21" ht="15" customHeight="1" x14ac:dyDescent="0.25">
      <c r="C315" s="1136"/>
      <c r="L315" s="1087"/>
      <c r="U315" s="1087"/>
    </row>
    <row r="316" spans="3:21" ht="15" customHeight="1" x14ac:dyDescent="0.25">
      <c r="C316" s="1136"/>
      <c r="L316" s="1087"/>
      <c r="U316" s="1087"/>
    </row>
    <row r="317" spans="3:21" ht="15" customHeight="1" x14ac:dyDescent="0.25">
      <c r="C317" s="1136"/>
      <c r="L317" s="1087"/>
      <c r="U317" s="1087"/>
    </row>
    <row r="318" spans="3:21" ht="14.1" customHeight="1" x14ac:dyDescent="0.25">
      <c r="C318" s="1136"/>
      <c r="L318" s="1087"/>
      <c r="U318" s="1087"/>
    </row>
    <row r="319" spans="3:21" ht="14.1" customHeight="1" x14ac:dyDescent="0.25">
      <c r="C319" s="1136"/>
      <c r="L319" s="1087"/>
      <c r="U319" s="1087"/>
    </row>
    <row r="320" spans="3:21" ht="14.1" customHeight="1" x14ac:dyDescent="0.25">
      <c r="C320" s="1136"/>
      <c r="L320" s="1087"/>
      <c r="U320" s="1087"/>
    </row>
    <row r="321" spans="3:21" ht="14.1" customHeight="1" x14ac:dyDescent="0.25">
      <c r="C321" s="1136"/>
      <c r="L321" s="1087"/>
      <c r="U321" s="1087"/>
    </row>
    <row r="322" spans="3:21" ht="14.1" customHeight="1" x14ac:dyDescent="0.25">
      <c r="C322" s="1136"/>
      <c r="L322" s="1087"/>
      <c r="U322" s="1087"/>
    </row>
    <row r="323" spans="3:21" ht="14.1" customHeight="1" x14ac:dyDescent="0.25">
      <c r="C323" s="1136"/>
      <c r="L323" s="1087"/>
      <c r="U323" s="1087"/>
    </row>
    <row r="324" spans="3:21" ht="14.1" customHeight="1" x14ac:dyDescent="0.25">
      <c r="C324" s="1136"/>
      <c r="L324" s="1087"/>
      <c r="U324" s="1087"/>
    </row>
    <row r="325" spans="3:21" ht="14.1" customHeight="1" x14ac:dyDescent="0.25">
      <c r="C325" s="1136"/>
      <c r="L325" s="1087"/>
      <c r="U325" s="1087"/>
    </row>
    <row r="326" spans="3:21" ht="14.1" customHeight="1" x14ac:dyDescent="0.25">
      <c r="C326" s="1136"/>
      <c r="L326" s="1087"/>
      <c r="U326" s="1087"/>
    </row>
    <row r="327" spans="3:21" ht="14.1" customHeight="1" x14ac:dyDescent="0.25">
      <c r="C327" s="1136"/>
      <c r="L327" s="1087"/>
      <c r="U327" s="1087"/>
    </row>
    <row r="328" spans="3:21" ht="14.1" customHeight="1" x14ac:dyDescent="0.25">
      <c r="C328" s="1136"/>
      <c r="L328" s="1087"/>
      <c r="U328" s="1087"/>
    </row>
    <row r="329" spans="3:21" ht="14.1" customHeight="1" x14ac:dyDescent="0.25">
      <c r="C329" s="1136"/>
      <c r="L329" s="1087"/>
      <c r="U329" s="1087"/>
    </row>
    <row r="330" spans="3:21" ht="14.1" customHeight="1" x14ac:dyDescent="0.25">
      <c r="C330" s="1136"/>
      <c r="L330" s="1087"/>
      <c r="U330" s="1087"/>
    </row>
    <row r="331" spans="3:21" ht="14.1" customHeight="1" x14ac:dyDescent="0.25">
      <c r="C331" s="1136"/>
      <c r="L331" s="1087"/>
      <c r="U331" s="1087"/>
    </row>
    <row r="332" spans="3:21" ht="14.1" customHeight="1" x14ac:dyDescent="0.25">
      <c r="C332" s="1136"/>
      <c r="L332" s="1087"/>
      <c r="U332" s="1087"/>
    </row>
    <row r="333" spans="3:21" ht="14.1" customHeight="1" x14ac:dyDescent="0.25">
      <c r="C333" s="1136"/>
      <c r="L333" s="1087"/>
      <c r="U333" s="1087"/>
    </row>
    <row r="334" spans="3:21" ht="14.1" customHeight="1" x14ac:dyDescent="0.25">
      <c r="C334" s="1136"/>
      <c r="L334" s="1087"/>
      <c r="U334" s="1087"/>
    </row>
    <row r="335" spans="3:21" x14ac:dyDescent="0.25">
      <c r="C335" s="1136"/>
      <c r="L335" s="1087"/>
      <c r="U335" s="1087"/>
    </row>
    <row r="336" spans="3:21" ht="15" customHeight="1" x14ac:dyDescent="0.25">
      <c r="C336" s="1136"/>
      <c r="L336" s="1087"/>
      <c r="U336" s="1087"/>
    </row>
    <row r="337" spans="1:38" x14ac:dyDescent="0.25">
      <c r="C337" s="1136"/>
      <c r="L337" s="1087"/>
      <c r="U337" s="1087"/>
    </row>
    <row r="338" spans="1:38" x14ac:dyDescent="0.25">
      <c r="C338" s="1136"/>
      <c r="L338" s="1087"/>
      <c r="U338" s="1087"/>
    </row>
    <row r="339" spans="1:38" ht="14.1" customHeight="1" x14ac:dyDescent="0.25">
      <c r="C339" s="1136"/>
      <c r="L339" s="1087"/>
      <c r="U339" s="1087"/>
    </row>
    <row r="340" spans="1:38" ht="14.1" customHeight="1" x14ac:dyDescent="0.25">
      <c r="C340" s="1136"/>
      <c r="L340" s="1087"/>
      <c r="U340" s="1087"/>
    </row>
    <row r="341" spans="1:38" s="1081" customFormat="1" ht="14.1" customHeight="1" x14ac:dyDescent="0.25">
      <c r="A341" s="1087"/>
      <c r="B341" s="1087"/>
      <c r="C341" s="1136"/>
      <c r="D341" s="1087"/>
      <c r="E341" s="1087"/>
      <c r="F341" s="1087"/>
      <c r="G341" s="1087"/>
      <c r="H341" s="1087"/>
      <c r="I341" s="1087"/>
      <c r="J341" s="1087"/>
      <c r="K341" s="1087"/>
      <c r="L341" s="1087"/>
      <c r="M341" s="1087"/>
      <c r="N341" s="1087"/>
      <c r="O341" s="1087"/>
      <c r="P341" s="1087"/>
      <c r="Q341" s="1087"/>
      <c r="R341" s="1087"/>
      <c r="S341" s="1087"/>
      <c r="T341" s="1087"/>
      <c r="U341" s="1087"/>
      <c r="V341" s="1087"/>
      <c r="W341" s="1087"/>
      <c r="X341" s="1087"/>
      <c r="Y341" s="1087"/>
      <c r="Z341" s="1087"/>
      <c r="AA341" s="1087"/>
      <c r="AB341" s="1087"/>
      <c r="AC341" s="1087"/>
      <c r="AD341" s="1087"/>
      <c r="AE341" s="1087"/>
      <c r="AF341" s="1087"/>
      <c r="AG341" s="1087"/>
      <c r="AH341" s="1087"/>
      <c r="AI341" s="1087"/>
      <c r="AJ341" s="1087"/>
      <c r="AK341" s="1087"/>
      <c r="AL341" s="1087"/>
    </row>
    <row r="342" spans="1:38" s="1081" customFormat="1" ht="14.1" customHeight="1" x14ac:dyDescent="0.25">
      <c r="A342" s="1087"/>
      <c r="B342" s="1087"/>
      <c r="C342" s="1136"/>
      <c r="D342" s="1087"/>
      <c r="E342" s="1087"/>
      <c r="F342" s="1087"/>
      <c r="G342" s="1087"/>
      <c r="H342" s="1087"/>
      <c r="I342" s="1087"/>
      <c r="J342" s="1087"/>
      <c r="K342" s="1087"/>
      <c r="L342" s="1087"/>
      <c r="M342" s="1087"/>
      <c r="N342" s="1087"/>
      <c r="O342" s="1087"/>
      <c r="P342" s="1087"/>
      <c r="Q342" s="1087"/>
      <c r="R342" s="1087"/>
      <c r="S342" s="1087"/>
      <c r="T342" s="1087"/>
      <c r="U342" s="1087"/>
      <c r="V342" s="1087"/>
      <c r="W342" s="1087"/>
      <c r="X342" s="1087"/>
      <c r="Y342" s="1087"/>
      <c r="Z342" s="1087"/>
      <c r="AA342" s="1087"/>
      <c r="AB342" s="1087"/>
      <c r="AC342" s="1087"/>
      <c r="AD342" s="1087"/>
      <c r="AE342" s="1087"/>
      <c r="AF342" s="1087"/>
      <c r="AG342" s="1087"/>
      <c r="AH342" s="1087"/>
      <c r="AI342" s="1087"/>
      <c r="AJ342" s="1087"/>
      <c r="AK342" s="1087"/>
      <c r="AL342" s="1087"/>
    </row>
    <row r="343" spans="1:38" s="1081" customFormat="1" ht="14.1" customHeight="1" x14ac:dyDescent="0.25">
      <c r="A343" s="1087"/>
      <c r="B343" s="1087"/>
      <c r="C343" s="1136"/>
      <c r="D343" s="1087"/>
      <c r="E343" s="1087"/>
      <c r="F343" s="1087"/>
      <c r="G343" s="1087"/>
      <c r="H343" s="1087"/>
      <c r="I343" s="1087"/>
      <c r="J343" s="1087"/>
      <c r="K343" s="1087"/>
      <c r="L343" s="1087"/>
      <c r="M343" s="1087"/>
      <c r="N343" s="1087"/>
      <c r="O343" s="1087"/>
      <c r="P343" s="1087"/>
      <c r="Q343" s="1087"/>
      <c r="R343" s="1087"/>
      <c r="S343" s="1087"/>
      <c r="T343" s="1087"/>
      <c r="U343" s="1087"/>
      <c r="V343" s="1087"/>
      <c r="W343" s="1087"/>
      <c r="X343" s="1087"/>
      <c r="Y343" s="1087"/>
      <c r="Z343" s="1087"/>
      <c r="AA343" s="1087"/>
      <c r="AB343" s="1087"/>
      <c r="AC343" s="1087"/>
      <c r="AD343" s="1087"/>
      <c r="AE343" s="1087"/>
      <c r="AF343" s="1087"/>
      <c r="AG343" s="1087"/>
      <c r="AH343" s="1087"/>
      <c r="AI343" s="1087"/>
      <c r="AJ343" s="1087"/>
      <c r="AK343" s="1087"/>
      <c r="AL343" s="1087"/>
    </row>
    <row r="344" spans="1:38" s="1081" customFormat="1" ht="14.1" customHeight="1" x14ac:dyDescent="0.25">
      <c r="A344" s="1087"/>
      <c r="B344" s="1087"/>
      <c r="C344" s="1136"/>
      <c r="D344" s="1087"/>
      <c r="E344" s="1087"/>
      <c r="F344" s="1087"/>
      <c r="G344" s="1087"/>
      <c r="H344" s="1087"/>
      <c r="I344" s="1087"/>
      <c r="J344" s="1087"/>
      <c r="K344" s="1087"/>
      <c r="L344" s="1087"/>
      <c r="M344" s="1087"/>
      <c r="N344" s="1087"/>
      <c r="O344" s="1087"/>
      <c r="P344" s="1087"/>
      <c r="Q344" s="1087"/>
      <c r="R344" s="1087"/>
      <c r="S344" s="1087"/>
      <c r="T344" s="1087"/>
      <c r="U344" s="1087"/>
      <c r="V344" s="1087"/>
      <c r="W344" s="1087"/>
      <c r="X344" s="1087"/>
      <c r="Y344" s="1087"/>
      <c r="Z344" s="1087"/>
      <c r="AA344" s="1087"/>
      <c r="AB344" s="1087"/>
      <c r="AC344" s="1087"/>
      <c r="AD344" s="1087"/>
      <c r="AE344" s="1087"/>
      <c r="AF344" s="1087"/>
      <c r="AG344" s="1087"/>
      <c r="AH344" s="1087"/>
      <c r="AI344" s="1087"/>
      <c r="AJ344" s="1087"/>
      <c r="AK344" s="1087"/>
      <c r="AL344" s="1087"/>
    </row>
    <row r="345" spans="1:38" s="1081" customFormat="1" ht="14.1" customHeight="1" x14ac:dyDescent="0.25">
      <c r="A345" s="1087"/>
      <c r="B345" s="1087"/>
      <c r="C345" s="1136"/>
      <c r="D345" s="1087"/>
      <c r="E345" s="1087"/>
      <c r="F345" s="1087"/>
      <c r="G345" s="1087"/>
      <c r="H345" s="1087"/>
      <c r="I345" s="1087"/>
      <c r="J345" s="1087"/>
      <c r="K345" s="1087"/>
      <c r="L345" s="1087"/>
      <c r="M345" s="1087"/>
      <c r="N345" s="1087"/>
      <c r="O345" s="1087"/>
      <c r="P345" s="1087"/>
      <c r="Q345" s="1087"/>
      <c r="R345" s="1087"/>
      <c r="S345" s="1087"/>
      <c r="T345" s="1087"/>
      <c r="U345" s="1087"/>
      <c r="V345" s="1087"/>
      <c r="W345" s="1087"/>
      <c r="X345" s="1087"/>
      <c r="Y345" s="1087"/>
      <c r="Z345" s="1087"/>
      <c r="AA345" s="1087"/>
      <c r="AB345" s="1087"/>
      <c r="AC345" s="1087"/>
      <c r="AD345" s="1087"/>
      <c r="AE345" s="1087"/>
      <c r="AF345" s="1087"/>
      <c r="AG345" s="1087"/>
      <c r="AH345" s="1087"/>
      <c r="AI345" s="1087"/>
      <c r="AJ345" s="1087"/>
      <c r="AK345" s="1087"/>
      <c r="AL345" s="1087"/>
    </row>
    <row r="346" spans="1:38" s="1081" customFormat="1" ht="14.1" customHeight="1" x14ac:dyDescent="0.25">
      <c r="A346" s="1087"/>
      <c r="B346" s="1087"/>
      <c r="C346" s="1136"/>
      <c r="D346" s="1087"/>
      <c r="E346" s="1087"/>
      <c r="F346" s="1087"/>
      <c r="G346" s="1087"/>
      <c r="H346" s="1087"/>
      <c r="I346" s="1087"/>
      <c r="J346" s="1087"/>
      <c r="K346" s="1087"/>
      <c r="L346" s="1087"/>
      <c r="M346" s="1087"/>
      <c r="N346" s="1087"/>
      <c r="O346" s="1087"/>
      <c r="P346" s="1087"/>
      <c r="Q346" s="1087"/>
      <c r="R346" s="1087"/>
      <c r="S346" s="1087"/>
      <c r="T346" s="1087"/>
      <c r="U346" s="1087"/>
      <c r="V346" s="1087"/>
      <c r="W346" s="1087"/>
      <c r="X346" s="1087"/>
      <c r="Y346" s="1087"/>
      <c r="Z346" s="1087"/>
      <c r="AA346" s="1087"/>
      <c r="AB346" s="1087"/>
      <c r="AC346" s="1087"/>
      <c r="AD346" s="1087"/>
      <c r="AE346" s="1087"/>
      <c r="AF346" s="1087"/>
      <c r="AG346" s="1087"/>
      <c r="AH346" s="1087"/>
      <c r="AI346" s="1087"/>
      <c r="AJ346" s="1087"/>
      <c r="AK346" s="1087"/>
      <c r="AL346" s="1087"/>
    </row>
    <row r="347" spans="1:38" s="1081" customFormat="1" ht="14.1" customHeight="1" x14ac:dyDescent="0.25">
      <c r="A347" s="1087"/>
      <c r="B347" s="1087"/>
      <c r="C347" s="1136"/>
      <c r="D347" s="1087"/>
      <c r="E347" s="1087"/>
      <c r="F347" s="1087"/>
      <c r="G347" s="1087"/>
      <c r="H347" s="1087"/>
      <c r="I347" s="1087"/>
      <c r="J347" s="1087"/>
      <c r="K347" s="1087"/>
      <c r="L347" s="1087"/>
      <c r="M347" s="1087"/>
      <c r="N347" s="1087"/>
      <c r="O347" s="1087"/>
      <c r="P347" s="1087"/>
      <c r="Q347" s="1087"/>
      <c r="R347" s="1087"/>
      <c r="S347" s="1087"/>
      <c r="T347" s="1087"/>
      <c r="U347" s="1087"/>
      <c r="V347" s="1087"/>
      <c r="W347" s="1087"/>
      <c r="X347" s="1087"/>
      <c r="Y347" s="1087"/>
      <c r="Z347" s="1087"/>
      <c r="AA347" s="1087"/>
      <c r="AB347" s="1087"/>
      <c r="AC347" s="1087"/>
      <c r="AD347" s="1087"/>
      <c r="AE347" s="1087"/>
      <c r="AF347" s="1087"/>
      <c r="AG347" s="1087"/>
      <c r="AH347" s="1087"/>
      <c r="AI347" s="1087"/>
      <c r="AJ347" s="1087"/>
      <c r="AK347" s="1087"/>
      <c r="AL347" s="1087"/>
    </row>
    <row r="348" spans="1:38" s="1081" customFormat="1" ht="14.1" customHeight="1" x14ac:dyDescent="0.25">
      <c r="A348" s="1087"/>
      <c r="B348" s="1087"/>
      <c r="C348" s="1136"/>
      <c r="D348" s="1087"/>
      <c r="E348" s="1087"/>
      <c r="F348" s="1087"/>
      <c r="G348" s="1087"/>
      <c r="H348" s="1087"/>
      <c r="I348" s="1087"/>
      <c r="J348" s="1087"/>
      <c r="K348" s="1087"/>
      <c r="L348" s="1087"/>
      <c r="M348" s="1087"/>
      <c r="N348" s="1087"/>
      <c r="O348" s="1087"/>
      <c r="P348" s="1087"/>
      <c r="Q348" s="1087"/>
      <c r="R348" s="1087"/>
      <c r="S348" s="1087"/>
      <c r="T348" s="1087"/>
      <c r="U348" s="1087"/>
      <c r="V348" s="1087"/>
      <c r="W348" s="1087"/>
      <c r="X348" s="1087"/>
      <c r="Y348" s="1087"/>
      <c r="Z348" s="1087"/>
      <c r="AA348" s="1087"/>
      <c r="AB348" s="1087"/>
      <c r="AC348" s="1087"/>
      <c r="AD348" s="1087"/>
      <c r="AE348" s="1087"/>
      <c r="AF348" s="1087"/>
      <c r="AG348" s="1087"/>
      <c r="AH348" s="1087"/>
      <c r="AI348" s="1087"/>
      <c r="AJ348" s="1087"/>
      <c r="AK348" s="1087"/>
      <c r="AL348" s="1087"/>
    </row>
    <row r="349" spans="1:38" s="1081" customFormat="1" ht="14.1" customHeight="1" x14ac:dyDescent="0.25">
      <c r="A349" s="1087"/>
      <c r="B349" s="1087"/>
      <c r="C349" s="1136"/>
      <c r="D349" s="1087"/>
      <c r="E349" s="1087"/>
      <c r="F349" s="1087"/>
      <c r="G349" s="1087"/>
      <c r="H349" s="1087"/>
      <c r="I349" s="1087"/>
      <c r="J349" s="1087"/>
      <c r="K349" s="1087"/>
      <c r="L349" s="1087"/>
      <c r="M349" s="1087"/>
      <c r="N349" s="1087"/>
      <c r="O349" s="1087"/>
      <c r="P349" s="1087"/>
      <c r="Q349" s="1087"/>
      <c r="R349" s="1087"/>
      <c r="S349" s="1087"/>
      <c r="T349" s="1087"/>
      <c r="U349" s="1087"/>
      <c r="V349" s="1087"/>
      <c r="W349" s="1087"/>
      <c r="X349" s="1087"/>
      <c r="Y349" s="1087"/>
      <c r="Z349" s="1087"/>
      <c r="AA349" s="1087"/>
      <c r="AB349" s="1087"/>
      <c r="AC349" s="1087"/>
      <c r="AD349" s="1087"/>
      <c r="AE349" s="1087"/>
      <c r="AF349" s="1087"/>
      <c r="AG349" s="1087"/>
      <c r="AH349" s="1087"/>
      <c r="AI349" s="1087"/>
      <c r="AJ349" s="1087"/>
      <c r="AK349" s="1087"/>
      <c r="AL349" s="1087"/>
    </row>
    <row r="350" spans="1:38" s="1081" customFormat="1" ht="14.1" customHeight="1" x14ac:dyDescent="0.25">
      <c r="A350" s="1087"/>
      <c r="B350" s="1087"/>
      <c r="C350" s="1136"/>
      <c r="D350" s="1087"/>
      <c r="E350" s="1087"/>
      <c r="F350" s="1087"/>
      <c r="G350" s="1087"/>
      <c r="H350" s="1087"/>
      <c r="I350" s="1087"/>
      <c r="J350" s="1087"/>
      <c r="K350" s="1087"/>
      <c r="L350" s="1087"/>
      <c r="M350" s="1087"/>
      <c r="N350" s="1087"/>
      <c r="O350" s="1087"/>
      <c r="P350" s="1087"/>
      <c r="Q350" s="1087"/>
      <c r="R350" s="1087"/>
      <c r="S350" s="1087"/>
      <c r="T350" s="1087"/>
      <c r="U350" s="1087"/>
      <c r="V350" s="1087"/>
      <c r="W350" s="1087"/>
      <c r="X350" s="1087"/>
      <c r="Y350" s="1087"/>
      <c r="Z350" s="1087"/>
      <c r="AA350" s="1087"/>
      <c r="AB350" s="1087"/>
      <c r="AC350" s="1087"/>
      <c r="AD350" s="1087"/>
      <c r="AE350" s="1087"/>
      <c r="AF350" s="1087"/>
      <c r="AG350" s="1087"/>
      <c r="AH350" s="1087"/>
      <c r="AI350" s="1087"/>
      <c r="AJ350" s="1087"/>
      <c r="AK350" s="1087"/>
      <c r="AL350" s="1087"/>
    </row>
    <row r="351" spans="1:38" s="1081" customFormat="1" ht="14.1" customHeight="1" x14ac:dyDescent="0.25">
      <c r="A351" s="1087"/>
      <c r="B351" s="1087"/>
      <c r="C351" s="1136"/>
      <c r="D351" s="1087"/>
      <c r="E351" s="1087"/>
      <c r="F351" s="1087"/>
      <c r="G351" s="1087"/>
      <c r="H351" s="1087"/>
      <c r="I351" s="1087"/>
      <c r="J351" s="1087"/>
      <c r="K351" s="1087"/>
      <c r="L351" s="1087"/>
      <c r="M351" s="1087"/>
      <c r="N351" s="1087"/>
      <c r="O351" s="1087"/>
      <c r="P351" s="1087"/>
      <c r="Q351" s="1087"/>
      <c r="R351" s="1087"/>
      <c r="S351" s="1087"/>
      <c r="T351" s="1087"/>
      <c r="U351" s="1087"/>
      <c r="V351" s="1087"/>
      <c r="W351" s="1087"/>
      <c r="X351" s="1087"/>
      <c r="Y351" s="1087"/>
      <c r="Z351" s="1087"/>
      <c r="AA351" s="1087"/>
      <c r="AB351" s="1087"/>
      <c r="AC351" s="1087"/>
      <c r="AD351" s="1087"/>
      <c r="AE351" s="1087"/>
      <c r="AF351" s="1087"/>
      <c r="AG351" s="1087"/>
      <c r="AH351" s="1087"/>
      <c r="AI351" s="1087"/>
      <c r="AJ351" s="1087"/>
      <c r="AK351" s="1087"/>
      <c r="AL351" s="1087"/>
    </row>
    <row r="352" spans="1:38" s="1081" customFormat="1" ht="14.1" customHeight="1" x14ac:dyDescent="0.25">
      <c r="A352" s="1087"/>
      <c r="B352" s="1087"/>
      <c r="C352" s="1136"/>
      <c r="D352" s="1087"/>
      <c r="E352" s="1087"/>
      <c r="F352" s="1087"/>
      <c r="G352" s="1087"/>
      <c r="H352" s="1087"/>
      <c r="I352" s="1087"/>
      <c r="J352" s="1087"/>
      <c r="K352" s="1087"/>
      <c r="L352" s="1087"/>
      <c r="M352" s="1087"/>
      <c r="N352" s="1087"/>
      <c r="O352" s="1087"/>
      <c r="P352" s="1087"/>
      <c r="Q352" s="1087"/>
      <c r="R352" s="1087"/>
      <c r="S352" s="1087"/>
      <c r="T352" s="1087"/>
      <c r="U352" s="1087"/>
      <c r="V352" s="1087"/>
      <c r="W352" s="1087"/>
      <c r="X352" s="1087"/>
      <c r="Y352" s="1087"/>
      <c r="Z352" s="1087"/>
      <c r="AA352" s="1087"/>
      <c r="AB352" s="1087"/>
      <c r="AC352" s="1087"/>
      <c r="AD352" s="1087"/>
      <c r="AE352" s="1087"/>
      <c r="AF352" s="1087"/>
      <c r="AG352" s="1087"/>
      <c r="AH352" s="1087"/>
      <c r="AI352" s="1087"/>
      <c r="AJ352" s="1087"/>
      <c r="AK352" s="1087"/>
      <c r="AL352" s="1087"/>
    </row>
    <row r="353" spans="1:38" s="1081" customFormat="1" ht="14.1" customHeight="1" x14ac:dyDescent="0.25">
      <c r="A353" s="1087"/>
      <c r="B353" s="1087"/>
      <c r="C353" s="1136"/>
      <c r="D353" s="1087"/>
      <c r="E353" s="1087"/>
      <c r="F353" s="1087"/>
      <c r="G353" s="1087"/>
      <c r="H353" s="1087"/>
      <c r="I353" s="1087"/>
      <c r="J353" s="1087"/>
      <c r="K353" s="1087"/>
      <c r="L353" s="1087"/>
      <c r="M353" s="1087"/>
      <c r="N353" s="1087"/>
      <c r="O353" s="1087"/>
      <c r="P353" s="1087"/>
      <c r="Q353" s="1087"/>
      <c r="R353" s="1087"/>
      <c r="S353" s="1087"/>
      <c r="T353" s="1087"/>
      <c r="U353" s="1087"/>
      <c r="V353" s="1087"/>
      <c r="W353" s="1087"/>
      <c r="X353" s="1087"/>
      <c r="Y353" s="1087"/>
      <c r="Z353" s="1087"/>
      <c r="AA353" s="1087"/>
      <c r="AB353" s="1087"/>
      <c r="AC353" s="1087"/>
      <c r="AD353" s="1087"/>
      <c r="AE353" s="1087"/>
      <c r="AF353" s="1087"/>
      <c r="AG353" s="1087"/>
      <c r="AH353" s="1087"/>
      <c r="AI353" s="1087"/>
      <c r="AJ353" s="1087"/>
      <c r="AK353" s="1087"/>
      <c r="AL353" s="1087"/>
    </row>
    <row r="354" spans="1:38" s="1081" customFormat="1" ht="14.1" customHeight="1" x14ac:dyDescent="0.25">
      <c r="A354" s="1087"/>
      <c r="B354" s="1087"/>
      <c r="C354" s="1136"/>
      <c r="D354" s="1087"/>
      <c r="E354" s="1087"/>
      <c r="F354" s="1087"/>
      <c r="G354" s="1087"/>
      <c r="H354" s="1087"/>
      <c r="I354" s="1087"/>
      <c r="J354" s="1087"/>
      <c r="K354" s="1087"/>
      <c r="L354" s="1087"/>
      <c r="M354" s="1087"/>
      <c r="N354" s="1087"/>
      <c r="O354" s="1087"/>
      <c r="P354" s="1087"/>
      <c r="Q354" s="1087"/>
      <c r="R354" s="1087"/>
      <c r="S354" s="1087"/>
      <c r="T354" s="1087"/>
      <c r="U354" s="1087"/>
      <c r="V354" s="1087"/>
      <c r="W354" s="1087"/>
      <c r="X354" s="1087"/>
      <c r="Y354" s="1087"/>
      <c r="Z354" s="1087"/>
      <c r="AA354" s="1087"/>
      <c r="AB354" s="1087"/>
      <c r="AC354" s="1087"/>
      <c r="AD354" s="1087"/>
      <c r="AE354" s="1087"/>
      <c r="AF354" s="1087"/>
      <c r="AG354" s="1087"/>
      <c r="AH354" s="1087"/>
      <c r="AI354" s="1087"/>
      <c r="AJ354" s="1087"/>
      <c r="AK354" s="1087"/>
      <c r="AL354" s="1087"/>
    </row>
    <row r="355" spans="1:38" s="1081" customFormat="1" ht="14.1" customHeight="1" x14ac:dyDescent="0.25">
      <c r="A355" s="1087"/>
      <c r="B355" s="1087"/>
      <c r="C355" s="1136"/>
      <c r="D355" s="1087"/>
      <c r="E355" s="1087"/>
      <c r="F355" s="1087"/>
      <c r="G355" s="1087"/>
      <c r="H355" s="1087"/>
      <c r="I355" s="1087"/>
      <c r="J355" s="1087"/>
      <c r="K355" s="1087"/>
      <c r="L355" s="1087"/>
      <c r="M355" s="1087"/>
      <c r="N355" s="1087"/>
      <c r="O355" s="1087"/>
      <c r="P355" s="1087"/>
      <c r="Q355" s="1087"/>
      <c r="R355" s="1087"/>
      <c r="S355" s="1087"/>
      <c r="T355" s="1087"/>
      <c r="U355" s="1087"/>
      <c r="V355" s="1087"/>
      <c r="W355" s="1087"/>
      <c r="X355" s="1087"/>
      <c r="Y355" s="1087"/>
      <c r="Z355" s="1087"/>
      <c r="AA355" s="1087"/>
      <c r="AB355" s="1087"/>
      <c r="AC355" s="1087"/>
      <c r="AD355" s="1087"/>
      <c r="AE355" s="1087"/>
      <c r="AF355" s="1087"/>
      <c r="AG355" s="1087"/>
      <c r="AH355" s="1087"/>
      <c r="AI355" s="1087"/>
      <c r="AJ355" s="1087"/>
      <c r="AK355" s="1087"/>
      <c r="AL355" s="1087"/>
    </row>
    <row r="356" spans="1:38" s="1081" customFormat="1" ht="14.1" customHeight="1" x14ac:dyDescent="0.25">
      <c r="A356" s="1087"/>
      <c r="B356" s="1087"/>
      <c r="C356" s="1136"/>
      <c r="D356" s="1087"/>
      <c r="E356" s="1087"/>
      <c r="F356" s="1087"/>
      <c r="G356" s="1087"/>
      <c r="H356" s="1087"/>
      <c r="I356" s="1087"/>
      <c r="J356" s="1087"/>
      <c r="K356" s="1087"/>
      <c r="L356" s="1087"/>
      <c r="M356" s="1087"/>
      <c r="N356" s="1087"/>
      <c r="O356" s="1087"/>
      <c r="P356" s="1087"/>
      <c r="Q356" s="1087"/>
      <c r="R356" s="1087"/>
      <c r="S356" s="1087"/>
      <c r="T356" s="1087"/>
      <c r="U356" s="1087"/>
      <c r="V356" s="1087"/>
      <c r="W356" s="1087"/>
      <c r="X356" s="1087"/>
      <c r="Y356" s="1087"/>
      <c r="Z356" s="1087"/>
      <c r="AA356" s="1087"/>
      <c r="AB356" s="1087"/>
      <c r="AC356" s="1087"/>
      <c r="AD356" s="1087"/>
      <c r="AE356" s="1087"/>
      <c r="AF356" s="1087"/>
      <c r="AG356" s="1087"/>
      <c r="AH356" s="1087"/>
      <c r="AI356" s="1087"/>
      <c r="AJ356" s="1087"/>
      <c r="AK356" s="1087"/>
      <c r="AL356" s="1087"/>
    </row>
    <row r="357" spans="1:38" s="1081" customFormat="1" ht="14.1" customHeight="1" x14ac:dyDescent="0.25">
      <c r="A357" s="1087"/>
      <c r="B357" s="1087"/>
      <c r="C357" s="1136"/>
      <c r="D357" s="1087"/>
      <c r="E357" s="1087"/>
      <c r="F357" s="1087"/>
      <c r="G357" s="1087"/>
      <c r="H357" s="1087"/>
      <c r="I357" s="1087"/>
      <c r="J357" s="1087"/>
      <c r="K357" s="1087"/>
      <c r="L357" s="1087"/>
      <c r="M357" s="1087"/>
      <c r="N357" s="1087"/>
      <c r="O357" s="1087"/>
      <c r="P357" s="1087"/>
      <c r="Q357" s="1087"/>
      <c r="R357" s="1087"/>
      <c r="S357" s="1087"/>
      <c r="T357" s="1087"/>
      <c r="U357" s="1087"/>
      <c r="V357" s="1087"/>
      <c r="W357" s="1087"/>
      <c r="X357" s="1087"/>
      <c r="Y357" s="1087"/>
      <c r="Z357" s="1087"/>
      <c r="AA357" s="1087"/>
      <c r="AB357" s="1087"/>
      <c r="AC357" s="1087"/>
      <c r="AD357" s="1087"/>
      <c r="AE357" s="1087"/>
      <c r="AF357" s="1087"/>
      <c r="AG357" s="1087"/>
      <c r="AH357" s="1087"/>
      <c r="AI357" s="1087"/>
      <c r="AJ357" s="1087"/>
      <c r="AK357" s="1087"/>
      <c r="AL357" s="1087"/>
    </row>
    <row r="358" spans="1:38" s="1081" customFormat="1" ht="14.1" customHeight="1" x14ac:dyDescent="0.25">
      <c r="A358" s="1087"/>
      <c r="B358" s="1087"/>
      <c r="C358" s="1136"/>
      <c r="D358" s="1087"/>
      <c r="E358" s="1087"/>
      <c r="F358" s="1087"/>
      <c r="G358" s="1087"/>
      <c r="H358" s="1087"/>
      <c r="I358" s="1087"/>
      <c r="J358" s="1087"/>
      <c r="K358" s="1087"/>
      <c r="L358" s="1087"/>
      <c r="M358" s="1087"/>
      <c r="N358" s="1087"/>
      <c r="O358" s="1087"/>
      <c r="P358" s="1087"/>
      <c r="Q358" s="1087"/>
      <c r="R358" s="1087"/>
      <c r="S358" s="1087"/>
      <c r="T358" s="1087"/>
      <c r="U358" s="1087"/>
      <c r="V358" s="1087"/>
      <c r="W358" s="1087"/>
      <c r="X358" s="1087"/>
      <c r="Y358" s="1087"/>
      <c r="Z358" s="1087"/>
      <c r="AA358" s="1087"/>
      <c r="AB358" s="1087"/>
      <c r="AC358" s="1087"/>
      <c r="AD358" s="1087"/>
      <c r="AE358" s="1087"/>
      <c r="AF358" s="1087"/>
      <c r="AG358" s="1087"/>
      <c r="AH358" s="1087"/>
      <c r="AI358" s="1087"/>
      <c r="AJ358" s="1087"/>
      <c r="AK358" s="1087"/>
      <c r="AL358" s="1087"/>
    </row>
    <row r="359" spans="1:38" s="1081" customFormat="1" ht="14.1" customHeight="1" x14ac:dyDescent="0.25">
      <c r="A359" s="1087"/>
      <c r="B359" s="1087"/>
      <c r="C359" s="1136"/>
      <c r="D359" s="1087"/>
      <c r="E359" s="1087"/>
      <c r="F359" s="1087"/>
      <c r="G359" s="1087"/>
      <c r="H359" s="1087"/>
      <c r="I359" s="1087"/>
      <c r="J359" s="1087"/>
      <c r="K359" s="1087"/>
      <c r="L359" s="1087"/>
      <c r="M359" s="1087"/>
      <c r="N359" s="1087"/>
      <c r="O359" s="1087"/>
      <c r="P359" s="1087"/>
      <c r="Q359" s="1087"/>
      <c r="R359" s="1087"/>
      <c r="S359" s="1087"/>
      <c r="T359" s="1087"/>
      <c r="U359" s="1087"/>
      <c r="V359" s="1087"/>
      <c r="W359" s="1087"/>
      <c r="X359" s="1087"/>
      <c r="Y359" s="1087"/>
      <c r="Z359" s="1087"/>
      <c r="AA359" s="1087"/>
      <c r="AB359" s="1087"/>
      <c r="AC359" s="1087"/>
      <c r="AD359" s="1087"/>
      <c r="AE359" s="1087"/>
      <c r="AF359" s="1087"/>
      <c r="AG359" s="1087"/>
      <c r="AH359" s="1087"/>
      <c r="AI359" s="1087"/>
      <c r="AJ359" s="1087"/>
      <c r="AK359" s="1087"/>
      <c r="AL359" s="1087"/>
    </row>
    <row r="360" spans="1:38" s="1081" customFormat="1" ht="14.1" customHeight="1" x14ac:dyDescent="0.25">
      <c r="A360" s="1087"/>
      <c r="B360" s="1087"/>
      <c r="C360" s="1136"/>
      <c r="D360" s="1087"/>
      <c r="E360" s="1087"/>
      <c r="F360" s="1087"/>
      <c r="G360" s="1087"/>
      <c r="H360" s="1087"/>
      <c r="I360" s="1087"/>
      <c r="J360" s="1087"/>
      <c r="K360" s="1087"/>
      <c r="L360" s="1087"/>
      <c r="M360" s="1087"/>
      <c r="N360" s="1087"/>
      <c r="O360" s="1087"/>
      <c r="P360" s="1087"/>
      <c r="Q360" s="1087"/>
      <c r="R360" s="1087"/>
      <c r="S360" s="1087"/>
      <c r="T360" s="1087"/>
      <c r="U360" s="1087"/>
      <c r="V360" s="1087"/>
      <c r="W360" s="1087"/>
      <c r="X360" s="1087"/>
      <c r="Y360" s="1087"/>
      <c r="Z360" s="1087"/>
      <c r="AA360" s="1087"/>
      <c r="AB360" s="1087"/>
      <c r="AC360" s="1087"/>
      <c r="AD360" s="1087"/>
      <c r="AE360" s="1087"/>
      <c r="AF360" s="1087"/>
      <c r="AG360" s="1087"/>
      <c r="AH360" s="1087"/>
      <c r="AI360" s="1087"/>
      <c r="AJ360" s="1087"/>
      <c r="AK360" s="1087"/>
      <c r="AL360" s="1087"/>
    </row>
    <row r="361" spans="1:38" s="1081" customFormat="1" ht="14.1" customHeight="1" x14ac:dyDescent="0.25">
      <c r="A361" s="1087"/>
      <c r="B361" s="1087"/>
      <c r="C361" s="1136"/>
      <c r="D361" s="1087"/>
      <c r="E361" s="1087"/>
      <c r="F361" s="1087"/>
      <c r="G361" s="1087"/>
      <c r="H361" s="1087"/>
      <c r="I361" s="1087"/>
      <c r="J361" s="1087"/>
      <c r="K361" s="1087"/>
      <c r="L361" s="1087"/>
      <c r="M361" s="1087"/>
      <c r="N361" s="1087"/>
      <c r="O361" s="1087"/>
      <c r="P361" s="1087"/>
      <c r="Q361" s="1087"/>
      <c r="R361" s="1087"/>
      <c r="S361" s="1087"/>
      <c r="T361" s="1087"/>
      <c r="U361" s="1087"/>
      <c r="V361" s="1087"/>
      <c r="W361" s="1087"/>
      <c r="X361" s="1087"/>
      <c r="Y361" s="1087"/>
      <c r="Z361" s="1087"/>
      <c r="AA361" s="1087"/>
      <c r="AB361" s="1087"/>
      <c r="AC361" s="1087"/>
      <c r="AD361" s="1087"/>
      <c r="AE361" s="1087"/>
      <c r="AF361" s="1087"/>
      <c r="AG361" s="1087"/>
      <c r="AH361" s="1087"/>
      <c r="AI361" s="1087"/>
      <c r="AJ361" s="1087"/>
      <c r="AK361" s="1087"/>
      <c r="AL361" s="1087"/>
    </row>
    <row r="362" spans="1:38" s="1081" customFormat="1" ht="14.1" customHeight="1" x14ac:dyDescent="0.25">
      <c r="A362" s="1087"/>
      <c r="B362" s="1087"/>
      <c r="C362" s="1136"/>
      <c r="D362" s="1087"/>
      <c r="E362" s="1087"/>
      <c r="F362" s="1087"/>
      <c r="G362" s="1087"/>
      <c r="H362" s="1087"/>
      <c r="I362" s="1087"/>
      <c r="J362" s="1087"/>
      <c r="K362" s="1087"/>
      <c r="L362" s="1087"/>
      <c r="M362" s="1087"/>
      <c r="N362" s="1087"/>
      <c r="O362" s="1087"/>
      <c r="P362" s="1087"/>
      <c r="Q362" s="1087"/>
      <c r="R362" s="1087"/>
      <c r="S362" s="1087"/>
      <c r="T362" s="1087"/>
      <c r="U362" s="1087"/>
      <c r="V362" s="1087"/>
      <c r="W362" s="1087"/>
      <c r="X362" s="1087"/>
      <c r="Y362" s="1087"/>
      <c r="Z362" s="1087"/>
      <c r="AA362" s="1087"/>
      <c r="AB362" s="1087"/>
      <c r="AC362" s="1087"/>
      <c r="AD362" s="1087"/>
      <c r="AE362" s="1087"/>
      <c r="AF362" s="1087"/>
      <c r="AG362" s="1087"/>
      <c r="AH362" s="1087"/>
      <c r="AI362" s="1087"/>
      <c r="AJ362" s="1087"/>
      <c r="AK362" s="1087"/>
      <c r="AL362" s="1087"/>
    </row>
    <row r="363" spans="1:38" s="1081" customFormat="1" ht="14.1" customHeight="1" x14ac:dyDescent="0.25">
      <c r="A363" s="1087"/>
      <c r="B363" s="1087"/>
      <c r="C363" s="1136"/>
      <c r="D363" s="1087"/>
      <c r="E363" s="1087"/>
      <c r="F363" s="1087"/>
      <c r="G363" s="1087"/>
      <c r="H363" s="1087"/>
      <c r="I363" s="1087"/>
      <c r="J363" s="1087"/>
      <c r="K363" s="1087"/>
      <c r="L363" s="1087"/>
      <c r="M363" s="1087"/>
      <c r="N363" s="1087"/>
      <c r="O363" s="1087"/>
      <c r="P363" s="1087"/>
      <c r="Q363" s="1087"/>
      <c r="R363" s="1087"/>
      <c r="S363" s="1087"/>
      <c r="T363" s="1087"/>
      <c r="U363" s="1087"/>
      <c r="V363" s="1087"/>
      <c r="W363" s="1087"/>
      <c r="X363" s="1087"/>
      <c r="Y363" s="1087"/>
      <c r="Z363" s="1087"/>
      <c r="AA363" s="1087"/>
      <c r="AB363" s="1087"/>
      <c r="AC363" s="1087"/>
      <c r="AD363" s="1087"/>
      <c r="AE363" s="1087"/>
      <c r="AF363" s="1087"/>
      <c r="AG363" s="1087"/>
      <c r="AH363" s="1087"/>
      <c r="AI363" s="1087"/>
      <c r="AJ363" s="1087"/>
      <c r="AK363" s="1087"/>
      <c r="AL363" s="1087"/>
    </row>
    <row r="364" spans="1:38" s="1081" customFormat="1" ht="14.1" customHeight="1" x14ac:dyDescent="0.25">
      <c r="A364" s="1087"/>
      <c r="B364" s="1087"/>
      <c r="C364" s="1136"/>
      <c r="D364" s="1087"/>
      <c r="E364" s="1087"/>
      <c r="F364" s="1087"/>
      <c r="G364" s="1087"/>
      <c r="H364" s="1087"/>
      <c r="I364" s="1087"/>
      <c r="J364" s="1087"/>
      <c r="K364" s="1087"/>
      <c r="L364" s="1087"/>
      <c r="M364" s="1087"/>
      <c r="N364" s="1087"/>
      <c r="O364" s="1087"/>
      <c r="P364" s="1087"/>
      <c r="Q364" s="1087"/>
      <c r="R364" s="1087"/>
      <c r="S364" s="1087"/>
      <c r="T364" s="1087"/>
      <c r="U364" s="1087"/>
      <c r="V364" s="1087"/>
      <c r="W364" s="1087"/>
      <c r="X364" s="1087"/>
      <c r="Y364" s="1087"/>
      <c r="Z364" s="1087"/>
      <c r="AA364" s="1087"/>
      <c r="AB364" s="1087"/>
      <c r="AC364" s="1087"/>
      <c r="AD364" s="1087"/>
      <c r="AE364" s="1087"/>
      <c r="AF364" s="1087"/>
      <c r="AG364" s="1087"/>
      <c r="AH364" s="1087"/>
      <c r="AI364" s="1087"/>
      <c r="AJ364" s="1087"/>
      <c r="AK364" s="1087"/>
      <c r="AL364" s="1087"/>
    </row>
    <row r="365" spans="1:38" s="1081" customFormat="1" ht="14.1" customHeight="1" x14ac:dyDescent="0.25">
      <c r="A365" s="1087"/>
      <c r="B365" s="1087"/>
      <c r="C365" s="1136"/>
      <c r="D365" s="1087"/>
      <c r="E365" s="1087"/>
      <c r="F365" s="1087"/>
      <c r="G365" s="1087"/>
      <c r="H365" s="1087"/>
      <c r="I365" s="1087"/>
      <c r="J365" s="1087"/>
      <c r="K365" s="1087"/>
      <c r="L365" s="1087"/>
      <c r="M365" s="1087"/>
      <c r="N365" s="1087"/>
      <c r="O365" s="1087"/>
      <c r="P365" s="1087"/>
      <c r="Q365" s="1087"/>
      <c r="R365" s="1087"/>
      <c r="S365" s="1087"/>
      <c r="T365" s="1087"/>
      <c r="U365" s="1087"/>
      <c r="V365" s="1087"/>
      <c r="W365" s="1087"/>
      <c r="X365" s="1087"/>
      <c r="Y365" s="1087"/>
      <c r="Z365" s="1087"/>
      <c r="AA365" s="1087"/>
      <c r="AB365" s="1087"/>
      <c r="AC365" s="1087"/>
      <c r="AD365" s="1087"/>
      <c r="AE365" s="1087"/>
      <c r="AF365" s="1087"/>
      <c r="AG365" s="1087"/>
      <c r="AH365" s="1087"/>
      <c r="AI365" s="1087"/>
      <c r="AJ365" s="1087"/>
      <c r="AK365" s="1087"/>
      <c r="AL365" s="1087"/>
    </row>
    <row r="366" spans="1:38" s="1081" customFormat="1" ht="14.1" customHeight="1" x14ac:dyDescent="0.25">
      <c r="A366" s="1087"/>
      <c r="B366" s="1087"/>
      <c r="C366" s="1136"/>
      <c r="D366" s="1087"/>
      <c r="E366" s="1087"/>
      <c r="F366" s="1087"/>
      <c r="G366" s="1087"/>
      <c r="H366" s="1087"/>
      <c r="I366" s="1087"/>
      <c r="J366" s="1087"/>
      <c r="K366" s="1087"/>
      <c r="L366" s="1087"/>
      <c r="M366" s="1087"/>
      <c r="N366" s="1087"/>
      <c r="O366" s="1087"/>
      <c r="P366" s="1087"/>
      <c r="Q366" s="1087"/>
      <c r="R366" s="1087"/>
      <c r="S366" s="1087"/>
      <c r="T366" s="1087"/>
      <c r="U366" s="1087"/>
      <c r="V366" s="1087"/>
      <c r="W366" s="1087"/>
      <c r="X366" s="1087"/>
      <c r="Y366" s="1087"/>
      <c r="Z366" s="1087"/>
      <c r="AA366" s="1087"/>
      <c r="AB366" s="1087"/>
      <c r="AC366" s="1087"/>
      <c r="AD366" s="1087"/>
      <c r="AE366" s="1087"/>
      <c r="AF366" s="1087"/>
      <c r="AG366" s="1087"/>
      <c r="AH366" s="1087"/>
      <c r="AI366" s="1087"/>
      <c r="AJ366" s="1087"/>
      <c r="AK366" s="1087"/>
      <c r="AL366" s="1087"/>
    </row>
    <row r="367" spans="1:38" s="1081" customFormat="1" ht="14.1" customHeight="1" x14ac:dyDescent="0.25">
      <c r="A367" s="1087"/>
      <c r="B367" s="1087"/>
      <c r="C367" s="1136"/>
      <c r="D367" s="1087"/>
      <c r="E367" s="1087"/>
      <c r="F367" s="1087"/>
      <c r="G367" s="1087"/>
      <c r="H367" s="1087"/>
      <c r="I367" s="1087"/>
      <c r="J367" s="1087"/>
      <c r="K367" s="1087"/>
      <c r="L367" s="1087"/>
      <c r="M367" s="1087"/>
      <c r="N367" s="1087"/>
      <c r="O367" s="1087"/>
      <c r="P367" s="1087"/>
      <c r="Q367" s="1087"/>
      <c r="R367" s="1087"/>
      <c r="S367" s="1087"/>
      <c r="T367" s="1087"/>
      <c r="U367" s="1087"/>
      <c r="V367" s="1087"/>
      <c r="W367" s="1087"/>
      <c r="X367" s="1087"/>
      <c r="Y367" s="1087"/>
      <c r="Z367" s="1087"/>
      <c r="AA367" s="1087"/>
      <c r="AB367" s="1087"/>
      <c r="AC367" s="1087"/>
      <c r="AD367" s="1087"/>
      <c r="AE367" s="1087"/>
      <c r="AF367" s="1087"/>
      <c r="AG367" s="1087"/>
      <c r="AH367" s="1087"/>
      <c r="AI367" s="1087"/>
      <c r="AJ367" s="1087"/>
      <c r="AK367" s="1087"/>
      <c r="AL367" s="1087"/>
    </row>
    <row r="368" spans="1:38" s="1081" customFormat="1" ht="14.1" customHeight="1" x14ac:dyDescent="0.25">
      <c r="A368" s="1087"/>
      <c r="B368" s="1087"/>
      <c r="C368" s="1136"/>
      <c r="D368" s="1087"/>
      <c r="E368" s="1087"/>
      <c r="F368" s="1087"/>
      <c r="G368" s="1087"/>
      <c r="H368" s="1087"/>
      <c r="I368" s="1087"/>
      <c r="J368" s="1087"/>
      <c r="K368" s="1087"/>
      <c r="L368" s="1087"/>
      <c r="M368" s="1087"/>
      <c r="N368" s="1087"/>
      <c r="O368" s="1087"/>
      <c r="P368" s="1087"/>
      <c r="Q368" s="1087"/>
      <c r="R368" s="1087"/>
      <c r="S368" s="1087"/>
      <c r="T368" s="1087"/>
      <c r="U368" s="1087"/>
      <c r="V368" s="1087"/>
      <c r="W368" s="1087"/>
      <c r="X368" s="1087"/>
      <c r="Y368" s="1087"/>
      <c r="Z368" s="1087"/>
      <c r="AA368" s="1087"/>
      <c r="AB368" s="1087"/>
      <c r="AC368" s="1087"/>
      <c r="AD368" s="1087"/>
      <c r="AE368" s="1087"/>
      <c r="AF368" s="1087"/>
      <c r="AG368" s="1087"/>
      <c r="AH368" s="1087"/>
      <c r="AI368" s="1087"/>
      <c r="AJ368" s="1087"/>
      <c r="AK368" s="1087"/>
      <c r="AL368" s="1087"/>
    </row>
    <row r="369" spans="1:38" x14ac:dyDescent="0.25">
      <c r="C369" s="1136"/>
      <c r="L369" s="1087"/>
      <c r="U369" s="1087"/>
    </row>
    <row r="370" spans="1:38" x14ac:dyDescent="0.25">
      <c r="C370" s="1136"/>
      <c r="L370" s="1087"/>
      <c r="U370" s="1087"/>
    </row>
    <row r="371" spans="1:38" x14ac:dyDescent="0.25">
      <c r="C371" s="1136"/>
      <c r="L371" s="1087"/>
      <c r="U371" s="1087"/>
    </row>
    <row r="372" spans="1:38" x14ac:dyDescent="0.25">
      <c r="C372" s="1136"/>
      <c r="L372" s="1087"/>
      <c r="U372" s="1087"/>
    </row>
    <row r="373" spans="1:38" x14ac:dyDescent="0.25">
      <c r="C373" s="1136"/>
      <c r="L373" s="1087"/>
      <c r="U373" s="1087"/>
    </row>
    <row r="374" spans="1:38" x14ac:dyDescent="0.25">
      <c r="C374" s="1136"/>
      <c r="L374" s="1087"/>
      <c r="U374" s="1087"/>
    </row>
    <row r="375" spans="1:38" x14ac:dyDescent="0.25">
      <c r="C375" s="1136"/>
      <c r="L375" s="1087"/>
      <c r="U375" s="1087"/>
    </row>
    <row r="376" spans="1:38" x14ac:dyDescent="0.25">
      <c r="C376" s="1136"/>
      <c r="L376" s="1087"/>
      <c r="U376" s="1087"/>
    </row>
    <row r="377" spans="1:38" x14ac:dyDescent="0.25">
      <c r="C377" s="1136"/>
      <c r="L377" s="1087"/>
      <c r="U377" s="1087"/>
    </row>
    <row r="378" spans="1:38" x14ac:dyDescent="0.25">
      <c r="C378" s="1136"/>
      <c r="L378" s="1087"/>
      <c r="U378" s="1087"/>
    </row>
    <row r="379" spans="1:38" x14ac:dyDescent="0.25">
      <c r="C379" s="1136"/>
      <c r="L379" s="1087"/>
      <c r="U379" s="1087"/>
    </row>
    <row r="380" spans="1:38" x14ac:dyDescent="0.25">
      <c r="C380" s="1136"/>
      <c r="L380" s="1087"/>
      <c r="U380" s="1087"/>
    </row>
    <row r="381" spans="1:38" x14ac:dyDescent="0.25">
      <c r="C381" s="1136"/>
      <c r="L381" s="1087"/>
      <c r="U381" s="1087"/>
    </row>
    <row r="382" spans="1:38" s="1081" customFormat="1" x14ac:dyDescent="0.25">
      <c r="A382" s="1087"/>
      <c r="B382" s="1087"/>
      <c r="C382" s="1136"/>
      <c r="D382" s="1087"/>
      <c r="E382" s="1087"/>
      <c r="F382" s="1087"/>
      <c r="G382" s="1087"/>
      <c r="H382" s="1087"/>
      <c r="I382" s="1087"/>
      <c r="J382" s="1087"/>
      <c r="K382" s="1087"/>
      <c r="L382" s="1087"/>
      <c r="M382" s="1087"/>
      <c r="N382" s="1087"/>
      <c r="O382" s="1087"/>
      <c r="P382" s="1087"/>
      <c r="Q382" s="1087"/>
      <c r="R382" s="1087"/>
      <c r="S382" s="1087"/>
      <c r="T382" s="1087"/>
      <c r="U382" s="1087"/>
      <c r="V382" s="1087"/>
      <c r="W382" s="1087"/>
      <c r="X382" s="1087"/>
      <c r="Y382" s="1087"/>
      <c r="Z382" s="1087"/>
      <c r="AA382" s="1087"/>
      <c r="AB382" s="1087"/>
      <c r="AC382" s="1087"/>
      <c r="AD382" s="1087"/>
      <c r="AE382" s="1087"/>
      <c r="AF382" s="1087"/>
      <c r="AG382" s="1087"/>
      <c r="AH382" s="1087"/>
      <c r="AI382" s="1087"/>
      <c r="AJ382" s="1087"/>
      <c r="AK382" s="1087"/>
      <c r="AL382" s="1087"/>
    </row>
    <row r="383" spans="1:38" s="1081" customFormat="1" x14ac:dyDescent="0.25">
      <c r="A383" s="1087"/>
      <c r="B383" s="1087"/>
      <c r="C383" s="1136"/>
      <c r="D383" s="1087"/>
      <c r="E383" s="1087"/>
      <c r="F383" s="1087"/>
      <c r="G383" s="1087"/>
      <c r="H383" s="1087"/>
      <c r="I383" s="1087"/>
      <c r="J383" s="1087"/>
      <c r="K383" s="1087"/>
      <c r="L383" s="1087"/>
      <c r="M383" s="1087"/>
      <c r="N383" s="1087"/>
      <c r="O383" s="1087"/>
      <c r="P383" s="1087"/>
      <c r="Q383" s="1087"/>
      <c r="R383" s="1087"/>
      <c r="S383" s="1087"/>
      <c r="T383" s="1087"/>
      <c r="U383" s="1087"/>
      <c r="V383" s="1087"/>
      <c r="W383" s="1087"/>
      <c r="X383" s="1087"/>
      <c r="Y383" s="1087"/>
      <c r="Z383" s="1087"/>
      <c r="AA383" s="1087"/>
      <c r="AB383" s="1087"/>
      <c r="AC383" s="1087"/>
      <c r="AD383" s="1087"/>
      <c r="AE383" s="1087"/>
      <c r="AF383" s="1087"/>
      <c r="AG383" s="1087"/>
      <c r="AH383" s="1087"/>
      <c r="AI383" s="1087"/>
      <c r="AJ383" s="1087"/>
      <c r="AK383" s="1087"/>
      <c r="AL383" s="1087"/>
    </row>
    <row r="384" spans="1:38" s="1081" customFormat="1" x14ac:dyDescent="0.25">
      <c r="A384" s="1087"/>
      <c r="B384" s="1087"/>
      <c r="C384" s="1136"/>
      <c r="D384" s="1087"/>
      <c r="E384" s="1087"/>
      <c r="F384" s="1087"/>
      <c r="G384" s="1087"/>
      <c r="H384" s="1087"/>
      <c r="I384" s="1087"/>
      <c r="J384" s="1087"/>
      <c r="K384" s="1087"/>
      <c r="L384" s="1087"/>
      <c r="M384" s="1087"/>
      <c r="N384" s="1087"/>
      <c r="O384" s="1087"/>
      <c r="P384" s="1087"/>
      <c r="Q384" s="1087"/>
      <c r="R384" s="1087"/>
      <c r="S384" s="1087"/>
      <c r="T384" s="1087"/>
      <c r="U384" s="1087"/>
      <c r="V384" s="1087"/>
      <c r="W384" s="1087"/>
      <c r="X384" s="1087"/>
      <c r="Y384" s="1087"/>
      <c r="Z384" s="1087"/>
      <c r="AA384" s="1087"/>
      <c r="AB384" s="1087"/>
      <c r="AC384" s="1087"/>
      <c r="AD384" s="1087"/>
      <c r="AE384" s="1087"/>
      <c r="AF384" s="1087"/>
      <c r="AG384" s="1087"/>
      <c r="AH384" s="1087"/>
      <c r="AI384" s="1087"/>
      <c r="AJ384" s="1087"/>
      <c r="AK384" s="1087"/>
      <c r="AL384" s="1087"/>
    </row>
    <row r="385" spans="1:38" s="1081" customFormat="1" x14ac:dyDescent="0.25">
      <c r="A385" s="1087"/>
      <c r="B385" s="1087"/>
      <c r="C385" s="1136"/>
      <c r="D385" s="1087"/>
      <c r="E385" s="1087"/>
      <c r="F385" s="1087"/>
      <c r="G385" s="1087"/>
      <c r="H385" s="1087"/>
      <c r="I385" s="1087"/>
      <c r="J385" s="1087"/>
      <c r="K385" s="1087"/>
      <c r="L385" s="1087"/>
      <c r="M385" s="1087"/>
      <c r="N385" s="1087"/>
      <c r="O385" s="1087"/>
      <c r="P385" s="1087"/>
      <c r="Q385" s="1087"/>
      <c r="R385" s="1087"/>
      <c r="S385" s="1087"/>
      <c r="T385" s="1087"/>
      <c r="U385" s="1087"/>
      <c r="V385" s="1087"/>
      <c r="W385" s="1087"/>
      <c r="X385" s="1087"/>
      <c r="Y385" s="1087"/>
      <c r="Z385" s="1087"/>
      <c r="AA385" s="1087"/>
      <c r="AB385" s="1087"/>
      <c r="AC385" s="1087"/>
      <c r="AD385" s="1087"/>
      <c r="AE385" s="1087"/>
      <c r="AF385" s="1087"/>
      <c r="AG385" s="1087"/>
      <c r="AH385" s="1087"/>
      <c r="AI385" s="1087"/>
      <c r="AJ385" s="1087"/>
      <c r="AK385" s="1087"/>
      <c r="AL385" s="1087"/>
    </row>
    <row r="386" spans="1:38" s="1081" customFormat="1" x14ac:dyDescent="0.25">
      <c r="A386" s="1087"/>
      <c r="B386" s="1087"/>
      <c r="C386" s="1136"/>
      <c r="D386" s="1087"/>
      <c r="E386" s="1087"/>
      <c r="F386" s="1087"/>
      <c r="G386" s="1087"/>
      <c r="H386" s="1087"/>
      <c r="I386" s="1087"/>
      <c r="J386" s="1087"/>
      <c r="K386" s="1087"/>
      <c r="L386" s="1087"/>
      <c r="M386" s="1087"/>
      <c r="N386" s="1087"/>
      <c r="O386" s="1087"/>
      <c r="P386" s="1087"/>
      <c r="Q386" s="1087"/>
      <c r="R386" s="1087"/>
      <c r="S386" s="1087"/>
      <c r="T386" s="1087"/>
      <c r="U386" s="1087"/>
      <c r="V386" s="1087"/>
      <c r="W386" s="1087"/>
      <c r="X386" s="1087"/>
      <c r="Y386" s="1087"/>
      <c r="Z386" s="1087"/>
      <c r="AA386" s="1087"/>
      <c r="AB386" s="1087"/>
      <c r="AC386" s="1087"/>
      <c r="AD386" s="1087"/>
      <c r="AE386" s="1087"/>
      <c r="AF386" s="1087"/>
      <c r="AG386" s="1087"/>
      <c r="AH386" s="1087"/>
      <c r="AI386" s="1087"/>
      <c r="AJ386" s="1087"/>
      <c r="AK386" s="1087"/>
      <c r="AL386" s="1087"/>
    </row>
    <row r="387" spans="1:38" s="1081" customFormat="1" x14ac:dyDescent="0.25">
      <c r="A387" s="1087"/>
      <c r="B387" s="1087"/>
      <c r="C387" s="1136"/>
      <c r="D387" s="1087"/>
      <c r="E387" s="1087"/>
      <c r="F387" s="1087"/>
      <c r="G387" s="1087"/>
      <c r="H387" s="1087"/>
      <c r="I387" s="1087"/>
      <c r="J387" s="1087"/>
      <c r="K387" s="1087"/>
      <c r="L387" s="1087"/>
      <c r="M387" s="1087"/>
      <c r="N387" s="1087"/>
      <c r="O387" s="1087"/>
      <c r="P387" s="1087"/>
      <c r="Q387" s="1087"/>
      <c r="R387" s="1087"/>
      <c r="S387" s="1087"/>
      <c r="T387" s="1087"/>
      <c r="U387" s="1087"/>
      <c r="V387" s="1087"/>
      <c r="W387" s="1087"/>
      <c r="X387" s="1087"/>
      <c r="Y387" s="1087"/>
      <c r="Z387" s="1087"/>
      <c r="AA387" s="1087"/>
      <c r="AB387" s="1087"/>
      <c r="AC387" s="1087"/>
      <c r="AD387" s="1087"/>
      <c r="AE387" s="1087"/>
      <c r="AF387" s="1087"/>
      <c r="AG387" s="1087"/>
      <c r="AH387" s="1087"/>
      <c r="AI387" s="1087"/>
      <c r="AJ387" s="1087"/>
      <c r="AK387" s="1087"/>
      <c r="AL387" s="1087"/>
    </row>
    <row r="388" spans="1:38" s="1081" customFormat="1" x14ac:dyDescent="0.25">
      <c r="A388" s="1087"/>
      <c r="B388" s="1087"/>
      <c r="C388" s="1136"/>
      <c r="D388" s="1087"/>
      <c r="E388" s="1087"/>
      <c r="F388" s="1087"/>
      <c r="G388" s="1087"/>
      <c r="H388" s="1087"/>
      <c r="I388" s="1087"/>
      <c r="J388" s="1087"/>
      <c r="K388" s="1087"/>
      <c r="L388" s="1087"/>
      <c r="M388" s="1087"/>
      <c r="N388" s="1087"/>
      <c r="O388" s="1087"/>
      <c r="P388" s="1087"/>
      <c r="Q388" s="1087"/>
      <c r="R388" s="1087"/>
      <c r="S388" s="1087"/>
      <c r="T388" s="1087"/>
      <c r="U388" s="1087"/>
      <c r="V388" s="1087"/>
      <c r="W388" s="1087"/>
      <c r="X388" s="1087"/>
      <c r="Y388" s="1087"/>
      <c r="Z388" s="1087"/>
      <c r="AA388" s="1087"/>
      <c r="AB388" s="1087"/>
      <c r="AC388" s="1087"/>
      <c r="AD388" s="1087"/>
      <c r="AE388" s="1087"/>
      <c r="AF388" s="1087"/>
      <c r="AG388" s="1087"/>
      <c r="AH388" s="1087"/>
      <c r="AI388" s="1087"/>
      <c r="AJ388" s="1087"/>
      <c r="AK388" s="1087"/>
      <c r="AL388" s="1087"/>
    </row>
    <row r="389" spans="1:38" s="1081" customFormat="1" x14ac:dyDescent="0.25">
      <c r="A389" s="1087"/>
      <c r="B389" s="1087"/>
      <c r="C389" s="1136"/>
      <c r="D389" s="1087"/>
      <c r="E389" s="1087"/>
      <c r="F389" s="1087"/>
      <c r="G389" s="1087"/>
      <c r="H389" s="1087"/>
      <c r="I389" s="1087"/>
      <c r="J389" s="1087"/>
      <c r="K389" s="1087"/>
      <c r="L389" s="1087"/>
      <c r="M389" s="1087"/>
      <c r="N389" s="1087"/>
      <c r="O389" s="1087"/>
      <c r="P389" s="1087"/>
      <c r="Q389" s="1087"/>
      <c r="R389" s="1087"/>
      <c r="S389" s="1087"/>
      <c r="T389" s="1087"/>
      <c r="U389" s="1087"/>
      <c r="V389" s="1087"/>
      <c r="W389" s="1087"/>
      <c r="X389" s="1087"/>
      <c r="Y389" s="1087"/>
      <c r="Z389" s="1087"/>
      <c r="AA389" s="1087"/>
      <c r="AB389" s="1087"/>
      <c r="AC389" s="1087"/>
      <c r="AD389" s="1087"/>
      <c r="AE389" s="1087"/>
      <c r="AF389" s="1087"/>
      <c r="AG389" s="1087"/>
      <c r="AH389" s="1087"/>
      <c r="AI389" s="1087"/>
      <c r="AJ389" s="1087"/>
      <c r="AK389" s="1087"/>
      <c r="AL389" s="1087"/>
    </row>
    <row r="390" spans="1:38" s="1081" customFormat="1" x14ac:dyDescent="0.25">
      <c r="A390" s="1087"/>
      <c r="B390" s="1087"/>
      <c r="C390" s="1136"/>
      <c r="D390" s="1087"/>
      <c r="E390" s="1087"/>
      <c r="F390" s="1087"/>
      <c r="G390" s="1087"/>
      <c r="H390" s="1087"/>
      <c r="I390" s="1087"/>
      <c r="J390" s="1087"/>
      <c r="K390" s="1087"/>
      <c r="L390" s="1087"/>
      <c r="M390" s="1087"/>
      <c r="N390" s="1087"/>
      <c r="O390" s="1087"/>
      <c r="P390" s="1087"/>
      <c r="Q390" s="1087"/>
      <c r="R390" s="1087"/>
      <c r="S390" s="1087"/>
      <c r="T390" s="1087"/>
      <c r="U390" s="1087"/>
      <c r="V390" s="1087"/>
      <c r="W390" s="1087"/>
      <c r="X390" s="1087"/>
      <c r="Y390" s="1087"/>
      <c r="Z390" s="1087"/>
      <c r="AA390" s="1087"/>
      <c r="AB390" s="1087"/>
      <c r="AC390" s="1087"/>
      <c r="AD390" s="1087"/>
      <c r="AE390" s="1087"/>
      <c r="AF390" s="1087"/>
      <c r="AG390" s="1087"/>
      <c r="AH390" s="1087"/>
      <c r="AI390" s="1087"/>
      <c r="AJ390" s="1087"/>
      <c r="AK390" s="1087"/>
      <c r="AL390" s="1087"/>
    </row>
    <row r="391" spans="1:38" s="1081" customFormat="1" x14ac:dyDescent="0.25">
      <c r="A391" s="1087"/>
      <c r="B391" s="1087"/>
      <c r="C391" s="1136"/>
      <c r="D391" s="1087"/>
      <c r="E391" s="1087"/>
      <c r="F391" s="1087"/>
      <c r="G391" s="1087"/>
      <c r="H391" s="1087"/>
      <c r="I391" s="1087"/>
      <c r="J391" s="1087"/>
      <c r="K391" s="1087"/>
      <c r="L391" s="1087"/>
      <c r="M391" s="1087"/>
      <c r="N391" s="1087"/>
      <c r="O391" s="1087"/>
      <c r="P391" s="1087"/>
      <c r="Q391" s="1087"/>
      <c r="R391" s="1087"/>
      <c r="S391" s="1087"/>
      <c r="T391" s="1087"/>
      <c r="U391" s="1087"/>
      <c r="V391" s="1087"/>
      <c r="W391" s="1087"/>
      <c r="X391" s="1087"/>
      <c r="Y391" s="1087"/>
      <c r="Z391" s="1087"/>
      <c r="AA391" s="1087"/>
      <c r="AB391" s="1087"/>
      <c r="AC391" s="1087"/>
      <c r="AD391" s="1087"/>
      <c r="AE391" s="1087"/>
      <c r="AF391" s="1087"/>
      <c r="AG391" s="1087"/>
      <c r="AH391" s="1087"/>
      <c r="AI391" s="1087"/>
      <c r="AJ391" s="1087"/>
      <c r="AK391" s="1087"/>
      <c r="AL391" s="1087"/>
    </row>
    <row r="392" spans="1:38" s="1081" customFormat="1" x14ac:dyDescent="0.25">
      <c r="A392" s="1087"/>
      <c r="B392" s="1087"/>
      <c r="C392" s="1136"/>
      <c r="D392" s="1087"/>
      <c r="E392" s="1087"/>
      <c r="F392" s="1087"/>
      <c r="G392" s="1087"/>
      <c r="H392" s="1087"/>
      <c r="I392" s="1087"/>
      <c r="J392" s="1087"/>
      <c r="K392" s="1087"/>
      <c r="L392" s="1087"/>
      <c r="M392" s="1087"/>
      <c r="N392" s="1087"/>
      <c r="O392" s="1087"/>
      <c r="P392" s="1087"/>
      <c r="Q392" s="1087"/>
      <c r="R392" s="1087"/>
      <c r="S392" s="1087"/>
      <c r="T392" s="1087"/>
      <c r="U392" s="1087"/>
      <c r="V392" s="1087"/>
      <c r="W392" s="1087"/>
      <c r="X392" s="1087"/>
      <c r="Y392" s="1087"/>
      <c r="Z392" s="1087"/>
      <c r="AA392" s="1087"/>
      <c r="AB392" s="1087"/>
      <c r="AC392" s="1087"/>
      <c r="AD392" s="1087"/>
      <c r="AE392" s="1087"/>
      <c r="AF392" s="1087"/>
      <c r="AG392" s="1087"/>
      <c r="AH392" s="1087"/>
      <c r="AI392" s="1087"/>
      <c r="AJ392" s="1087"/>
      <c r="AK392" s="1087"/>
      <c r="AL392" s="1087"/>
    </row>
    <row r="393" spans="1:38" s="1081" customFormat="1" x14ac:dyDescent="0.25">
      <c r="A393" s="1087"/>
      <c r="B393" s="1087"/>
      <c r="C393" s="1136"/>
      <c r="D393" s="1087"/>
      <c r="E393" s="1087"/>
      <c r="F393" s="1087"/>
      <c r="G393" s="1087"/>
      <c r="H393" s="1087"/>
      <c r="I393" s="1087"/>
      <c r="J393" s="1087"/>
      <c r="K393" s="1087"/>
      <c r="L393" s="1087"/>
      <c r="M393" s="1087"/>
      <c r="N393" s="1087"/>
      <c r="O393" s="1087"/>
      <c r="P393" s="1087"/>
      <c r="Q393" s="1087"/>
      <c r="R393" s="1087"/>
      <c r="S393" s="1087"/>
      <c r="T393" s="1087"/>
      <c r="U393" s="1087"/>
      <c r="V393" s="1087"/>
      <c r="W393" s="1087"/>
      <c r="X393" s="1087"/>
      <c r="Y393" s="1087"/>
      <c r="Z393" s="1087"/>
      <c r="AA393" s="1087"/>
      <c r="AB393" s="1087"/>
      <c r="AC393" s="1087"/>
      <c r="AD393" s="1087"/>
      <c r="AE393" s="1087"/>
      <c r="AF393" s="1087"/>
      <c r="AG393" s="1087"/>
      <c r="AH393" s="1087"/>
      <c r="AI393" s="1087"/>
      <c r="AJ393" s="1087"/>
      <c r="AK393" s="1087"/>
      <c r="AL393" s="1087"/>
    </row>
    <row r="394" spans="1:38" s="1081" customFormat="1" x14ac:dyDescent="0.25">
      <c r="A394" s="1087"/>
      <c r="B394" s="1087"/>
      <c r="C394" s="1136"/>
      <c r="D394" s="1087"/>
      <c r="E394" s="1087"/>
      <c r="F394" s="1087"/>
      <c r="G394" s="1087"/>
      <c r="H394" s="1087"/>
      <c r="I394" s="1087"/>
      <c r="J394" s="1087"/>
      <c r="K394" s="1087"/>
      <c r="L394" s="1087"/>
      <c r="M394" s="1087"/>
      <c r="N394" s="1087"/>
      <c r="O394" s="1087"/>
      <c r="P394" s="1087"/>
      <c r="Q394" s="1087"/>
      <c r="R394" s="1087"/>
      <c r="S394" s="1087"/>
      <c r="T394" s="1087"/>
      <c r="U394" s="1087"/>
      <c r="V394" s="1087"/>
      <c r="W394" s="1087"/>
      <c r="X394" s="1087"/>
      <c r="Y394" s="1087"/>
      <c r="Z394" s="1087"/>
      <c r="AA394" s="1087"/>
      <c r="AB394" s="1087"/>
      <c r="AC394" s="1087"/>
      <c r="AD394" s="1087"/>
      <c r="AE394" s="1087"/>
      <c r="AF394" s="1087"/>
      <c r="AG394" s="1087"/>
      <c r="AH394" s="1087"/>
      <c r="AI394" s="1087"/>
      <c r="AJ394" s="1087"/>
      <c r="AK394" s="1087"/>
      <c r="AL394" s="1087"/>
    </row>
    <row r="395" spans="1:38" s="1081" customFormat="1" x14ac:dyDescent="0.25">
      <c r="A395" s="1087"/>
      <c r="B395" s="1087"/>
      <c r="C395" s="1136"/>
      <c r="D395" s="1087"/>
      <c r="E395" s="1087"/>
      <c r="F395" s="1087"/>
      <c r="G395" s="1087"/>
      <c r="H395" s="1087"/>
      <c r="I395" s="1087"/>
      <c r="J395" s="1087"/>
      <c r="K395" s="1087"/>
      <c r="L395" s="1087"/>
      <c r="M395" s="1087"/>
      <c r="N395" s="1087"/>
      <c r="O395" s="1087"/>
      <c r="P395" s="1087"/>
      <c r="Q395" s="1087"/>
      <c r="R395" s="1087"/>
      <c r="S395" s="1087"/>
      <c r="T395" s="1087"/>
      <c r="U395" s="1087"/>
      <c r="V395" s="1087"/>
      <c r="W395" s="1087"/>
      <c r="X395" s="1087"/>
      <c r="Y395" s="1087"/>
      <c r="Z395" s="1087"/>
      <c r="AA395" s="1087"/>
      <c r="AB395" s="1087"/>
      <c r="AC395" s="1087"/>
      <c r="AD395" s="1087"/>
      <c r="AE395" s="1087"/>
      <c r="AF395" s="1087"/>
      <c r="AG395" s="1087"/>
      <c r="AH395" s="1087"/>
      <c r="AI395" s="1087"/>
      <c r="AJ395" s="1087"/>
      <c r="AK395" s="1087"/>
      <c r="AL395" s="1087"/>
    </row>
    <row r="396" spans="1:38" s="1081" customFormat="1" x14ac:dyDescent="0.25">
      <c r="A396" s="1087"/>
      <c r="B396" s="1087"/>
      <c r="C396" s="1136"/>
      <c r="D396" s="1087"/>
      <c r="E396" s="1087"/>
      <c r="F396" s="1087"/>
      <c r="G396" s="1087"/>
      <c r="H396" s="1087"/>
      <c r="I396" s="1087"/>
      <c r="J396" s="1087"/>
      <c r="K396" s="1087"/>
      <c r="L396" s="1087"/>
      <c r="M396" s="1087"/>
      <c r="N396" s="1087"/>
      <c r="O396" s="1087"/>
      <c r="P396" s="1087"/>
      <c r="Q396" s="1087"/>
      <c r="R396" s="1087"/>
      <c r="S396" s="1087"/>
      <c r="T396" s="1087"/>
      <c r="U396" s="1087"/>
      <c r="V396" s="1087"/>
      <c r="W396" s="1087"/>
      <c r="X396" s="1087"/>
      <c r="Y396" s="1087"/>
      <c r="Z396" s="1087"/>
      <c r="AA396" s="1087"/>
      <c r="AB396" s="1087"/>
      <c r="AC396" s="1087"/>
      <c r="AD396" s="1087"/>
      <c r="AE396" s="1087"/>
      <c r="AF396" s="1087"/>
      <c r="AG396" s="1087"/>
      <c r="AH396" s="1087"/>
      <c r="AI396" s="1087"/>
      <c r="AJ396" s="1087"/>
      <c r="AK396" s="1087"/>
      <c r="AL396" s="1087"/>
    </row>
    <row r="397" spans="1:38" x14ac:dyDescent="0.25">
      <c r="C397" s="1136"/>
      <c r="L397" s="1087"/>
      <c r="U397" s="1087"/>
    </row>
    <row r="398" spans="1:38" x14ac:dyDescent="0.25">
      <c r="C398" s="1136"/>
      <c r="L398" s="1087"/>
      <c r="U398" s="1087"/>
    </row>
    <row r="399" spans="1:38" x14ac:dyDescent="0.25">
      <c r="C399" s="1136"/>
      <c r="L399" s="1087"/>
      <c r="U399" s="1087"/>
    </row>
    <row r="400" spans="1:38" x14ac:dyDescent="0.25">
      <c r="C400" s="1136"/>
      <c r="L400" s="1087"/>
      <c r="U400" s="1087"/>
    </row>
    <row r="401" spans="3:21" x14ac:dyDescent="0.25">
      <c r="C401" s="1136"/>
      <c r="L401" s="1087"/>
      <c r="U401" s="1087"/>
    </row>
    <row r="402" spans="3:21" x14ac:dyDescent="0.25">
      <c r="C402" s="1136"/>
      <c r="L402" s="1087"/>
      <c r="U402" s="1087"/>
    </row>
    <row r="403" spans="3:21" x14ac:dyDescent="0.25">
      <c r="C403" s="1136"/>
      <c r="L403" s="1087"/>
      <c r="U403" s="1087"/>
    </row>
    <row r="404" spans="3:21" x14ac:dyDescent="0.25">
      <c r="C404" s="1136"/>
      <c r="L404" s="1087"/>
      <c r="U404" s="1087"/>
    </row>
    <row r="405" spans="3:21" x14ac:dyDescent="0.25">
      <c r="C405" s="1136"/>
      <c r="L405" s="1087"/>
      <c r="U405" s="1087"/>
    </row>
    <row r="406" spans="3:21" x14ac:dyDescent="0.25">
      <c r="C406" s="1136"/>
      <c r="L406" s="1087"/>
      <c r="U406" s="1087"/>
    </row>
    <row r="407" spans="3:21" x14ac:dyDescent="0.25">
      <c r="C407" s="1136"/>
      <c r="L407" s="1087"/>
      <c r="U407" s="1087"/>
    </row>
    <row r="408" spans="3:21" x14ac:dyDescent="0.25">
      <c r="C408" s="1136"/>
      <c r="L408" s="1087"/>
      <c r="U408" s="1087"/>
    </row>
    <row r="409" spans="3:21" x14ac:dyDescent="0.25">
      <c r="C409" s="1136"/>
      <c r="L409" s="1087"/>
      <c r="U409" s="1087"/>
    </row>
    <row r="410" spans="3:21" x14ac:dyDescent="0.25">
      <c r="C410" s="1136"/>
      <c r="L410" s="1087"/>
      <c r="U410" s="1087"/>
    </row>
    <row r="411" spans="3:21" x14ac:dyDescent="0.25">
      <c r="C411" s="1136"/>
      <c r="L411" s="1087"/>
      <c r="U411" s="1087"/>
    </row>
    <row r="412" spans="3:21" x14ac:dyDescent="0.25">
      <c r="C412" s="1136"/>
      <c r="L412" s="1087"/>
      <c r="U412" s="1087"/>
    </row>
    <row r="413" spans="3:21" x14ac:dyDescent="0.25">
      <c r="C413" s="1136"/>
      <c r="L413" s="1087"/>
      <c r="U413" s="1087"/>
    </row>
    <row r="414" spans="3:21" x14ac:dyDescent="0.25">
      <c r="C414" s="1136"/>
      <c r="L414" s="1087"/>
      <c r="U414" s="1087"/>
    </row>
    <row r="415" spans="3:21" x14ac:dyDescent="0.25">
      <c r="C415" s="1136"/>
      <c r="L415" s="1087"/>
      <c r="U415" s="1087"/>
    </row>
    <row r="416" spans="3:21" x14ac:dyDescent="0.25">
      <c r="C416" s="1136"/>
      <c r="L416" s="1087"/>
      <c r="U416" s="1087"/>
    </row>
    <row r="417" spans="3:21" x14ac:dyDescent="0.25">
      <c r="C417" s="1136"/>
      <c r="L417" s="1087"/>
      <c r="U417" s="1087"/>
    </row>
    <row r="418" spans="3:21" x14ac:dyDescent="0.25">
      <c r="C418" s="1136"/>
      <c r="L418" s="1087"/>
      <c r="U418" s="1087"/>
    </row>
    <row r="419" spans="3:21" x14ac:dyDescent="0.25">
      <c r="C419" s="1136"/>
      <c r="L419" s="1087"/>
      <c r="U419" s="1087"/>
    </row>
    <row r="420" spans="3:21" x14ac:dyDescent="0.25">
      <c r="C420" s="1136"/>
      <c r="L420" s="1087"/>
      <c r="U420" s="1087"/>
    </row>
    <row r="421" spans="3:21" x14ac:dyDescent="0.25">
      <c r="C421" s="1136"/>
      <c r="L421" s="1087"/>
      <c r="U421" s="1087"/>
    </row>
    <row r="422" spans="3:21" x14ac:dyDescent="0.25">
      <c r="C422" s="1136"/>
      <c r="L422" s="1087"/>
      <c r="U422" s="1087"/>
    </row>
    <row r="423" spans="3:21" x14ac:dyDescent="0.25">
      <c r="C423" s="1136"/>
      <c r="L423" s="1087"/>
      <c r="U423" s="1087"/>
    </row>
    <row r="424" spans="3:21" x14ac:dyDescent="0.25">
      <c r="C424" s="1136"/>
      <c r="L424" s="1087"/>
      <c r="U424" s="1087"/>
    </row>
    <row r="425" spans="3:21" x14ac:dyDescent="0.25">
      <c r="C425" s="1136"/>
      <c r="L425" s="1087"/>
      <c r="U425" s="1087"/>
    </row>
    <row r="426" spans="3:21" x14ac:dyDescent="0.25">
      <c r="C426" s="1136"/>
      <c r="L426" s="1087"/>
      <c r="U426" s="1087"/>
    </row>
    <row r="427" spans="3:21" x14ac:dyDescent="0.25">
      <c r="C427" s="1136"/>
      <c r="L427" s="1087"/>
      <c r="U427" s="1087"/>
    </row>
    <row r="428" spans="3:21" x14ac:dyDescent="0.25">
      <c r="C428" s="1136"/>
      <c r="L428" s="1087"/>
      <c r="U428" s="1087"/>
    </row>
    <row r="429" spans="3:21" x14ac:dyDescent="0.25">
      <c r="C429" s="1136"/>
      <c r="L429" s="1087"/>
      <c r="U429" s="1087"/>
    </row>
    <row r="430" spans="3:21" x14ac:dyDescent="0.25">
      <c r="C430" s="1136"/>
      <c r="L430" s="1087"/>
      <c r="U430" s="1087"/>
    </row>
    <row r="431" spans="3:21" x14ac:dyDescent="0.25">
      <c r="C431" s="1136"/>
      <c r="L431" s="1087"/>
      <c r="U431" s="1087"/>
    </row>
    <row r="432" spans="3:21" x14ac:dyDescent="0.25">
      <c r="C432" s="1136"/>
      <c r="L432" s="1087"/>
      <c r="U432" s="1087"/>
    </row>
    <row r="433" spans="3:21" x14ac:dyDescent="0.25">
      <c r="C433" s="1136"/>
      <c r="L433" s="1087"/>
      <c r="U433" s="1087"/>
    </row>
    <row r="434" spans="3:21" x14ac:dyDescent="0.25">
      <c r="C434" s="1136"/>
      <c r="L434" s="1087"/>
      <c r="U434" s="1087"/>
    </row>
    <row r="435" spans="3:21" x14ac:dyDescent="0.25">
      <c r="C435" s="1136"/>
      <c r="L435" s="1087"/>
      <c r="U435" s="1087"/>
    </row>
    <row r="436" spans="3:21" x14ac:dyDescent="0.25">
      <c r="C436" s="1136"/>
      <c r="L436" s="1087"/>
      <c r="U436" s="1087"/>
    </row>
    <row r="437" spans="3:21" x14ac:dyDescent="0.25">
      <c r="C437" s="1136"/>
      <c r="L437" s="1087"/>
      <c r="U437" s="1087"/>
    </row>
    <row r="438" spans="3:21" x14ac:dyDescent="0.25">
      <c r="C438" s="1136"/>
      <c r="L438" s="1087"/>
      <c r="U438" s="1087"/>
    </row>
    <row r="439" spans="3:21" x14ac:dyDescent="0.25">
      <c r="C439" s="1136"/>
      <c r="L439" s="1087"/>
      <c r="U439" s="1087"/>
    </row>
    <row r="440" spans="3:21" x14ac:dyDescent="0.25">
      <c r="C440" s="1136"/>
      <c r="L440" s="1087"/>
      <c r="U440" s="1087"/>
    </row>
    <row r="441" spans="3:21" x14ac:dyDescent="0.25">
      <c r="C441" s="1136"/>
      <c r="L441" s="1087"/>
      <c r="U441" s="1087"/>
    </row>
    <row r="442" spans="3:21" x14ac:dyDescent="0.25">
      <c r="C442" s="1136"/>
      <c r="L442" s="1087"/>
      <c r="U442" s="1087"/>
    </row>
    <row r="443" spans="3:21" x14ac:dyDescent="0.25">
      <c r="C443" s="1136"/>
      <c r="L443" s="1087"/>
      <c r="U443" s="1087"/>
    </row>
    <row r="444" spans="3:21" x14ac:dyDescent="0.25">
      <c r="C444" s="1136"/>
      <c r="L444" s="1087"/>
      <c r="U444" s="1087"/>
    </row>
    <row r="445" spans="3:21" x14ac:dyDescent="0.25">
      <c r="C445" s="1136"/>
      <c r="L445" s="1087"/>
      <c r="U445" s="1087"/>
    </row>
    <row r="446" spans="3:21" x14ac:dyDescent="0.25">
      <c r="C446" s="1136"/>
      <c r="L446" s="1087"/>
      <c r="U446" s="1087"/>
    </row>
    <row r="447" spans="3:21" x14ac:dyDescent="0.25">
      <c r="C447" s="1136"/>
      <c r="L447" s="1087"/>
      <c r="U447" s="1087"/>
    </row>
    <row r="448" spans="3:21" x14ac:dyDescent="0.25">
      <c r="C448" s="1136"/>
      <c r="L448" s="1087"/>
      <c r="U448" s="1087"/>
    </row>
    <row r="449" spans="3:21" x14ac:dyDescent="0.25">
      <c r="C449" s="1136"/>
      <c r="L449" s="1087"/>
      <c r="U449" s="1087"/>
    </row>
    <row r="450" spans="3:21" x14ac:dyDescent="0.25">
      <c r="C450" s="1136"/>
      <c r="L450" s="1087"/>
      <c r="U450" s="1087"/>
    </row>
    <row r="451" spans="3:21" x14ac:dyDescent="0.25">
      <c r="C451" s="1136"/>
      <c r="L451" s="1087"/>
      <c r="U451" s="1087"/>
    </row>
    <row r="452" spans="3:21" x14ac:dyDescent="0.25">
      <c r="C452" s="1136"/>
      <c r="L452" s="1087"/>
      <c r="U452" s="1087"/>
    </row>
    <row r="453" spans="3:21" x14ac:dyDescent="0.25">
      <c r="C453" s="1136"/>
      <c r="L453" s="1087"/>
      <c r="U453" s="1087"/>
    </row>
    <row r="454" spans="3:21" x14ac:dyDescent="0.25">
      <c r="C454" s="1136"/>
      <c r="L454" s="1087"/>
      <c r="U454" s="1087"/>
    </row>
    <row r="455" spans="3:21" x14ac:dyDescent="0.25">
      <c r="C455" s="1136"/>
      <c r="L455" s="1087"/>
      <c r="U455" s="1087"/>
    </row>
    <row r="456" spans="3:21" x14ac:dyDescent="0.25">
      <c r="C456" s="1136"/>
      <c r="L456" s="1087"/>
      <c r="U456" s="1087"/>
    </row>
    <row r="457" spans="3:21" x14ac:dyDescent="0.25">
      <c r="C457" s="1136"/>
      <c r="L457" s="1087"/>
      <c r="U457" s="1087"/>
    </row>
    <row r="458" spans="3:21" x14ac:dyDescent="0.25">
      <c r="C458" s="1136"/>
      <c r="L458" s="1087"/>
      <c r="U458" s="1087"/>
    </row>
    <row r="459" spans="3:21" x14ac:dyDescent="0.25">
      <c r="C459" s="1136"/>
      <c r="L459" s="1087"/>
      <c r="U459" s="1087"/>
    </row>
    <row r="460" spans="3:21" x14ac:dyDescent="0.25">
      <c r="C460" s="1136"/>
      <c r="L460" s="1087"/>
      <c r="U460" s="1087"/>
    </row>
    <row r="461" spans="3:21" x14ac:dyDescent="0.25">
      <c r="C461" s="1136"/>
      <c r="L461" s="1087"/>
      <c r="U461" s="1087"/>
    </row>
    <row r="462" spans="3:21" x14ac:dyDescent="0.25">
      <c r="C462" s="1136"/>
      <c r="L462" s="1087"/>
      <c r="U462" s="1087"/>
    </row>
    <row r="463" spans="3:21" x14ac:dyDescent="0.25">
      <c r="C463" s="1136"/>
      <c r="L463" s="1087"/>
      <c r="U463" s="1087"/>
    </row>
    <row r="464" spans="3:21" x14ac:dyDescent="0.25">
      <c r="C464" s="1136"/>
      <c r="L464" s="1087"/>
      <c r="U464" s="1087"/>
    </row>
    <row r="465" spans="3:21" x14ac:dyDescent="0.25">
      <c r="C465" s="1136"/>
      <c r="L465" s="1087"/>
      <c r="U465" s="1087"/>
    </row>
    <row r="466" spans="3:21" x14ac:dyDescent="0.25">
      <c r="C466" s="1136"/>
      <c r="L466" s="1087"/>
      <c r="U466" s="1087"/>
    </row>
    <row r="467" spans="3:21" x14ac:dyDescent="0.25">
      <c r="C467" s="1136"/>
      <c r="L467" s="1087"/>
      <c r="U467" s="1087"/>
    </row>
    <row r="468" spans="3:21" x14ac:dyDescent="0.25">
      <c r="C468" s="1136"/>
      <c r="L468" s="1087"/>
      <c r="U468" s="1087"/>
    </row>
    <row r="469" spans="3:21" x14ac:dyDescent="0.25">
      <c r="C469" s="1136"/>
      <c r="L469" s="1087"/>
      <c r="U469" s="1087"/>
    </row>
    <row r="470" spans="3:21" x14ac:dyDescent="0.25">
      <c r="C470" s="1136"/>
      <c r="L470" s="1087"/>
      <c r="U470" s="1087"/>
    </row>
    <row r="471" spans="3:21" x14ac:dyDescent="0.25">
      <c r="C471" s="1136"/>
      <c r="L471" s="1087"/>
      <c r="U471" s="1087"/>
    </row>
    <row r="472" spans="3:21" x14ac:dyDescent="0.25">
      <c r="C472" s="1136"/>
      <c r="L472" s="1087"/>
      <c r="U472" s="1087"/>
    </row>
    <row r="473" spans="3:21" x14ac:dyDescent="0.25">
      <c r="C473" s="1136"/>
      <c r="L473" s="1087"/>
      <c r="U473" s="1087"/>
    </row>
    <row r="474" spans="3:21" x14ac:dyDescent="0.25">
      <c r="C474" s="1136"/>
      <c r="L474" s="1087"/>
      <c r="U474" s="1087"/>
    </row>
    <row r="475" spans="3:21" x14ac:dyDescent="0.25">
      <c r="C475" s="1136"/>
      <c r="L475" s="1087"/>
      <c r="U475" s="1087"/>
    </row>
    <row r="476" spans="3:21" x14ac:dyDescent="0.25">
      <c r="C476" s="1136"/>
      <c r="L476" s="1087"/>
      <c r="U476" s="1087"/>
    </row>
    <row r="477" spans="3:21" x14ac:dyDescent="0.25">
      <c r="C477" s="1136"/>
      <c r="L477" s="1087"/>
      <c r="U477" s="1087"/>
    </row>
    <row r="478" spans="3:21" x14ac:dyDescent="0.25">
      <c r="C478" s="1136"/>
      <c r="L478" s="1087"/>
      <c r="U478" s="1087"/>
    </row>
    <row r="479" spans="3:21" x14ac:dyDescent="0.25">
      <c r="C479" s="1136"/>
      <c r="L479" s="1087"/>
      <c r="U479" s="1087"/>
    </row>
    <row r="480" spans="3:21" x14ac:dyDescent="0.25">
      <c r="C480" s="1136"/>
      <c r="L480" s="1087"/>
      <c r="U480" s="1087"/>
    </row>
    <row r="481" spans="3:21" x14ac:dyDescent="0.25">
      <c r="C481" s="1136"/>
      <c r="L481" s="1087"/>
      <c r="U481" s="1087"/>
    </row>
    <row r="482" spans="3:21" x14ac:dyDescent="0.25">
      <c r="C482" s="1136"/>
      <c r="L482" s="1087"/>
      <c r="U482" s="1087"/>
    </row>
    <row r="483" spans="3:21" x14ac:dyDescent="0.25">
      <c r="C483" s="1136"/>
      <c r="L483" s="1087"/>
      <c r="U483" s="1087"/>
    </row>
    <row r="484" spans="3:21" x14ac:dyDescent="0.25">
      <c r="C484" s="1136"/>
      <c r="L484" s="1087"/>
      <c r="U484" s="1087"/>
    </row>
    <row r="485" spans="3:21" x14ac:dyDescent="0.25">
      <c r="C485" s="1136"/>
      <c r="L485" s="1087"/>
      <c r="U485" s="1087"/>
    </row>
    <row r="486" spans="3:21" x14ac:dyDescent="0.25">
      <c r="C486" s="1136"/>
      <c r="L486" s="1087"/>
      <c r="U486" s="1087"/>
    </row>
    <row r="487" spans="3:21" x14ac:dyDescent="0.25">
      <c r="C487" s="1136"/>
      <c r="L487" s="1087"/>
      <c r="U487" s="1087"/>
    </row>
    <row r="488" spans="3:21" x14ac:dyDescent="0.25">
      <c r="C488" s="1136"/>
      <c r="L488" s="1087"/>
      <c r="U488" s="1087"/>
    </row>
    <row r="489" spans="3:21" x14ac:dyDescent="0.25">
      <c r="C489" s="1136"/>
      <c r="L489" s="1087"/>
      <c r="U489" s="1087"/>
    </row>
    <row r="490" spans="3:21" x14ac:dyDescent="0.25">
      <c r="C490" s="1136"/>
      <c r="L490" s="1087"/>
      <c r="U490" s="1087"/>
    </row>
    <row r="491" spans="3:21" x14ac:dyDescent="0.25">
      <c r="C491" s="1136"/>
      <c r="L491" s="1087"/>
      <c r="U491" s="1087"/>
    </row>
    <row r="492" spans="3:21" x14ac:dyDescent="0.25">
      <c r="C492" s="1136"/>
      <c r="L492" s="1087"/>
      <c r="U492" s="1087"/>
    </row>
    <row r="493" spans="3:21" x14ac:dyDescent="0.25">
      <c r="C493" s="1136"/>
      <c r="L493" s="1087"/>
      <c r="U493" s="1087"/>
    </row>
    <row r="494" spans="3:21" x14ac:dyDescent="0.25">
      <c r="C494" s="1136"/>
      <c r="L494" s="1087"/>
      <c r="U494" s="1087"/>
    </row>
    <row r="495" spans="3:21" x14ac:dyDescent="0.25">
      <c r="C495" s="1136"/>
      <c r="L495" s="1087"/>
      <c r="U495" s="1087"/>
    </row>
    <row r="496" spans="3:21" x14ac:dyDescent="0.25">
      <c r="C496" s="1136"/>
      <c r="L496" s="1087"/>
      <c r="U496" s="1087"/>
    </row>
    <row r="497" spans="3:21" x14ac:dyDescent="0.25">
      <c r="C497" s="1136"/>
      <c r="L497" s="1087"/>
      <c r="U497" s="1087"/>
    </row>
    <row r="498" spans="3:21" x14ac:dyDescent="0.25">
      <c r="C498" s="1136"/>
      <c r="L498" s="1087"/>
      <c r="U498" s="1087"/>
    </row>
    <row r="499" spans="3:21" x14ac:dyDescent="0.25">
      <c r="C499" s="1136"/>
      <c r="L499" s="1087"/>
      <c r="U499" s="1087"/>
    </row>
    <row r="500" spans="3:21" x14ac:dyDescent="0.25">
      <c r="C500" s="1136"/>
      <c r="L500" s="1087"/>
      <c r="U500" s="1087"/>
    </row>
    <row r="501" spans="3:21" x14ac:dyDescent="0.25">
      <c r="C501" s="1136"/>
      <c r="L501" s="1087"/>
      <c r="U501" s="1087"/>
    </row>
    <row r="502" spans="3:21" x14ac:dyDescent="0.25">
      <c r="C502" s="1136"/>
      <c r="L502" s="1087"/>
      <c r="U502" s="1087"/>
    </row>
    <row r="503" spans="3:21" x14ac:dyDescent="0.25">
      <c r="C503" s="1136"/>
      <c r="L503" s="1087"/>
      <c r="U503" s="1087"/>
    </row>
    <row r="504" spans="3:21" x14ac:dyDescent="0.25">
      <c r="C504" s="1136"/>
      <c r="L504" s="1087"/>
      <c r="U504" s="1087"/>
    </row>
    <row r="505" spans="3:21" x14ac:dyDescent="0.25">
      <c r="C505" s="1136"/>
      <c r="L505" s="1087"/>
      <c r="U505" s="1087"/>
    </row>
    <row r="506" spans="3:21" x14ac:dyDescent="0.25">
      <c r="C506" s="1136"/>
      <c r="L506" s="1087"/>
      <c r="U506" s="1087"/>
    </row>
    <row r="507" spans="3:21" x14ac:dyDescent="0.25">
      <c r="C507" s="1136"/>
      <c r="L507" s="1087"/>
      <c r="U507" s="1087"/>
    </row>
    <row r="508" spans="3:21" x14ac:dyDescent="0.25">
      <c r="C508" s="1136"/>
      <c r="L508" s="1087"/>
      <c r="U508" s="1087"/>
    </row>
    <row r="509" spans="3:21" x14ac:dyDescent="0.25">
      <c r="C509" s="1136"/>
      <c r="L509" s="1087"/>
      <c r="U509" s="1087"/>
    </row>
    <row r="510" spans="3:21" x14ac:dyDescent="0.25">
      <c r="C510" s="1136"/>
      <c r="L510" s="1087"/>
      <c r="U510" s="1087"/>
    </row>
    <row r="511" spans="3:21" x14ac:dyDescent="0.25">
      <c r="C511" s="1136"/>
      <c r="L511" s="1087"/>
      <c r="U511" s="1087"/>
    </row>
    <row r="512" spans="3:21" x14ac:dyDescent="0.25">
      <c r="C512" s="1136"/>
      <c r="L512" s="1087"/>
      <c r="U512" s="1087"/>
    </row>
    <row r="513" spans="3:21" x14ac:dyDescent="0.25">
      <c r="C513" s="1136"/>
      <c r="L513" s="1087"/>
      <c r="U513" s="1087"/>
    </row>
    <row r="514" spans="3:21" x14ac:dyDescent="0.25">
      <c r="C514" s="1136"/>
      <c r="L514" s="1087"/>
      <c r="U514" s="1087"/>
    </row>
    <row r="515" spans="3:21" x14ac:dyDescent="0.25">
      <c r="C515" s="1136"/>
      <c r="L515" s="1087"/>
      <c r="U515" s="1087"/>
    </row>
    <row r="516" spans="3:21" x14ac:dyDescent="0.25">
      <c r="C516" s="1136"/>
      <c r="L516" s="1087"/>
      <c r="U516" s="1087"/>
    </row>
    <row r="517" spans="3:21" x14ac:dyDescent="0.25">
      <c r="C517" s="1136"/>
      <c r="L517" s="1087"/>
      <c r="U517" s="1087"/>
    </row>
    <row r="518" spans="3:21" x14ac:dyDescent="0.25">
      <c r="C518" s="1136"/>
      <c r="L518" s="1087"/>
      <c r="U518" s="1087"/>
    </row>
    <row r="519" spans="3:21" x14ac:dyDescent="0.25">
      <c r="C519" s="1136"/>
      <c r="L519" s="1087"/>
      <c r="U519" s="1087"/>
    </row>
    <row r="520" spans="3:21" x14ac:dyDescent="0.25">
      <c r="C520" s="1136"/>
      <c r="L520" s="1087"/>
      <c r="U520" s="1087"/>
    </row>
    <row r="521" spans="3:21" x14ac:dyDescent="0.25">
      <c r="C521" s="1136"/>
      <c r="L521" s="1087"/>
      <c r="U521" s="1087"/>
    </row>
    <row r="522" spans="3:21" x14ac:dyDescent="0.25">
      <c r="C522" s="1136"/>
      <c r="L522" s="1087"/>
      <c r="U522" s="1087"/>
    </row>
    <row r="523" spans="3:21" x14ac:dyDescent="0.25">
      <c r="C523" s="1136"/>
      <c r="L523" s="1087"/>
      <c r="U523" s="1087"/>
    </row>
    <row r="524" spans="3:21" x14ac:dyDescent="0.25">
      <c r="C524" s="1136"/>
      <c r="L524" s="1087"/>
      <c r="U524" s="1087"/>
    </row>
    <row r="525" spans="3:21" x14ac:dyDescent="0.25">
      <c r="C525" s="1136"/>
      <c r="L525" s="1087"/>
      <c r="U525" s="1087"/>
    </row>
    <row r="526" spans="3:21" x14ac:dyDescent="0.25">
      <c r="C526" s="1136"/>
      <c r="L526" s="1087"/>
      <c r="U526" s="1087"/>
    </row>
    <row r="527" spans="3:21" x14ac:dyDescent="0.25">
      <c r="C527" s="1136"/>
      <c r="L527" s="1087"/>
      <c r="U527" s="1087"/>
    </row>
    <row r="528" spans="3:21" x14ac:dyDescent="0.25">
      <c r="C528" s="1136"/>
      <c r="L528" s="1087"/>
      <c r="U528" s="1087"/>
    </row>
    <row r="529" spans="3:21" x14ac:dyDescent="0.25">
      <c r="C529" s="1136"/>
      <c r="L529" s="1087"/>
      <c r="U529" s="1087"/>
    </row>
    <row r="530" spans="3:21" x14ac:dyDescent="0.25">
      <c r="C530" s="1136"/>
      <c r="L530" s="1087"/>
      <c r="U530" s="1087"/>
    </row>
    <row r="531" spans="3:21" x14ac:dyDescent="0.25">
      <c r="C531" s="1136"/>
      <c r="L531" s="1087"/>
      <c r="U531" s="1087"/>
    </row>
    <row r="532" spans="3:21" x14ac:dyDescent="0.25">
      <c r="C532" s="1136"/>
      <c r="L532" s="1087"/>
      <c r="U532" s="1087"/>
    </row>
    <row r="533" spans="3:21" x14ac:dyDescent="0.25">
      <c r="C533" s="1136"/>
      <c r="L533" s="1087"/>
      <c r="U533" s="1087"/>
    </row>
    <row r="534" spans="3:21" x14ac:dyDescent="0.25">
      <c r="C534" s="1136"/>
      <c r="L534" s="1087"/>
      <c r="U534" s="1087"/>
    </row>
    <row r="535" spans="3:21" x14ac:dyDescent="0.25">
      <c r="C535" s="1136"/>
      <c r="L535" s="1087"/>
      <c r="U535" s="1087"/>
    </row>
    <row r="536" spans="3:21" x14ac:dyDescent="0.25">
      <c r="C536" s="1136"/>
      <c r="L536" s="1087"/>
      <c r="U536" s="1087"/>
    </row>
    <row r="537" spans="3:21" x14ac:dyDescent="0.25">
      <c r="C537" s="1136"/>
      <c r="L537" s="1087"/>
      <c r="U537" s="1087"/>
    </row>
    <row r="538" spans="3:21" x14ac:dyDescent="0.25">
      <c r="C538" s="1136"/>
      <c r="L538" s="1087"/>
      <c r="U538" s="1087"/>
    </row>
    <row r="539" spans="3:21" x14ac:dyDescent="0.25">
      <c r="C539" s="1136"/>
      <c r="L539" s="1087"/>
      <c r="U539" s="1087"/>
    </row>
    <row r="540" spans="3:21" x14ac:dyDescent="0.25">
      <c r="C540" s="1136"/>
      <c r="L540" s="1087"/>
      <c r="U540" s="1087"/>
    </row>
    <row r="541" spans="3:21" x14ac:dyDescent="0.25">
      <c r="C541" s="1136"/>
      <c r="L541" s="1087"/>
      <c r="U541" s="1087"/>
    </row>
    <row r="542" spans="3:21" x14ac:dyDescent="0.25">
      <c r="C542" s="1136"/>
      <c r="L542" s="1087"/>
      <c r="U542" s="1087"/>
    </row>
    <row r="543" spans="3:21" x14ac:dyDescent="0.25">
      <c r="C543" s="1136"/>
      <c r="L543" s="1087"/>
      <c r="U543" s="1087"/>
    </row>
    <row r="544" spans="3:21" x14ac:dyDescent="0.25">
      <c r="C544" s="1136"/>
      <c r="L544" s="1087"/>
      <c r="U544" s="1087"/>
    </row>
    <row r="545" spans="3:21" x14ac:dyDescent="0.25">
      <c r="C545" s="1136"/>
      <c r="L545" s="1087"/>
      <c r="U545" s="1087"/>
    </row>
    <row r="546" spans="3:21" x14ac:dyDescent="0.25">
      <c r="C546" s="1136"/>
      <c r="L546" s="1087"/>
      <c r="U546" s="1087"/>
    </row>
    <row r="547" spans="3:21" x14ac:dyDescent="0.25">
      <c r="C547" s="1136"/>
      <c r="L547" s="1087"/>
      <c r="U547" s="1087"/>
    </row>
    <row r="548" spans="3:21" x14ac:dyDescent="0.25">
      <c r="C548" s="1136"/>
      <c r="L548" s="1087"/>
      <c r="U548" s="1087"/>
    </row>
    <row r="549" spans="3:21" x14ac:dyDescent="0.25">
      <c r="C549" s="1136"/>
      <c r="L549" s="1087"/>
      <c r="U549" s="1087"/>
    </row>
    <row r="550" spans="3:21" x14ac:dyDescent="0.25">
      <c r="C550" s="1136"/>
      <c r="L550" s="1087"/>
      <c r="U550" s="1087"/>
    </row>
    <row r="551" spans="3:21" x14ac:dyDescent="0.25">
      <c r="C551" s="1136"/>
      <c r="L551" s="1087"/>
      <c r="U551" s="1087"/>
    </row>
    <row r="552" spans="3:21" x14ac:dyDescent="0.25">
      <c r="C552" s="1136"/>
      <c r="L552" s="1087"/>
      <c r="U552" s="1087"/>
    </row>
    <row r="553" spans="3:21" x14ac:dyDescent="0.25">
      <c r="C553" s="1136"/>
      <c r="L553" s="1087"/>
      <c r="U553" s="1087"/>
    </row>
    <row r="554" spans="3:21" x14ac:dyDescent="0.25">
      <c r="C554" s="1136"/>
      <c r="L554" s="1087"/>
      <c r="U554" s="1087"/>
    </row>
    <row r="555" spans="3:21" x14ac:dyDescent="0.25">
      <c r="C555" s="1136"/>
      <c r="L555" s="1087"/>
      <c r="U555" s="1087"/>
    </row>
    <row r="556" spans="3:21" x14ac:dyDescent="0.25">
      <c r="C556" s="1136"/>
      <c r="L556" s="1087"/>
      <c r="U556" s="1087"/>
    </row>
    <row r="557" spans="3:21" x14ac:dyDescent="0.25">
      <c r="C557" s="1136"/>
      <c r="L557" s="1087"/>
      <c r="U557" s="1087"/>
    </row>
    <row r="558" spans="3:21" x14ac:dyDescent="0.25">
      <c r="C558" s="1136"/>
      <c r="L558" s="1087"/>
      <c r="U558" s="1087"/>
    </row>
    <row r="559" spans="3:21" x14ac:dyDescent="0.25">
      <c r="C559" s="1136"/>
      <c r="L559" s="1087"/>
      <c r="U559" s="1087"/>
    </row>
    <row r="560" spans="3:21" x14ac:dyDescent="0.25">
      <c r="C560" s="1136"/>
      <c r="L560" s="1087"/>
      <c r="U560" s="1087"/>
    </row>
    <row r="561" spans="3:21" x14ac:dyDescent="0.25">
      <c r="C561" s="1136"/>
      <c r="L561" s="1087"/>
      <c r="U561" s="1087"/>
    </row>
    <row r="562" spans="3:21" x14ac:dyDescent="0.25">
      <c r="C562" s="1136"/>
      <c r="L562" s="1087"/>
      <c r="U562" s="1087"/>
    </row>
    <row r="563" spans="3:21" x14ac:dyDescent="0.25">
      <c r="C563" s="1136"/>
      <c r="L563" s="1087"/>
      <c r="U563" s="1087"/>
    </row>
    <row r="564" spans="3:21" x14ac:dyDescent="0.25">
      <c r="C564" s="1136"/>
      <c r="L564" s="1087"/>
      <c r="U564" s="1087"/>
    </row>
    <row r="565" spans="3:21" x14ac:dyDescent="0.25">
      <c r="C565" s="1136"/>
      <c r="L565" s="1087"/>
      <c r="U565" s="1087"/>
    </row>
    <row r="566" spans="3:21" x14ac:dyDescent="0.25">
      <c r="C566" s="1136"/>
      <c r="L566" s="1087"/>
      <c r="U566" s="1087"/>
    </row>
    <row r="567" spans="3:21" x14ac:dyDescent="0.25">
      <c r="C567" s="1136"/>
      <c r="L567" s="1087"/>
      <c r="U567" s="1087"/>
    </row>
    <row r="568" spans="3:21" x14ac:dyDescent="0.25">
      <c r="C568" s="1136"/>
      <c r="L568" s="1087"/>
      <c r="U568" s="1087"/>
    </row>
    <row r="569" spans="3:21" x14ac:dyDescent="0.25">
      <c r="C569" s="1136"/>
      <c r="L569" s="1087"/>
      <c r="U569" s="1087"/>
    </row>
    <row r="570" spans="3:21" x14ac:dyDescent="0.25">
      <c r="C570" s="1136"/>
      <c r="L570" s="1087"/>
      <c r="U570" s="1087"/>
    </row>
    <row r="571" spans="3:21" x14ac:dyDescent="0.25">
      <c r="C571" s="1136"/>
      <c r="L571" s="1087"/>
      <c r="U571" s="1087"/>
    </row>
    <row r="572" spans="3:21" x14ac:dyDescent="0.25">
      <c r="C572" s="1136"/>
      <c r="L572" s="1087"/>
      <c r="U572" s="1087"/>
    </row>
    <row r="573" spans="3:21" x14ac:dyDescent="0.25">
      <c r="C573" s="1136"/>
      <c r="L573" s="1087"/>
      <c r="U573" s="1087"/>
    </row>
    <row r="574" spans="3:21" x14ac:dyDescent="0.25">
      <c r="C574" s="1136"/>
      <c r="L574" s="1087"/>
      <c r="U574" s="1087"/>
    </row>
    <row r="575" spans="3:21" x14ac:dyDescent="0.25">
      <c r="C575" s="1136"/>
      <c r="L575" s="1087"/>
      <c r="U575" s="1087"/>
    </row>
    <row r="576" spans="3:21" x14ac:dyDescent="0.25">
      <c r="C576" s="1136"/>
      <c r="L576" s="1087"/>
      <c r="U576" s="1087"/>
    </row>
    <row r="577" spans="3:21" x14ac:dyDescent="0.25">
      <c r="C577" s="1136"/>
      <c r="L577" s="1087"/>
      <c r="U577" s="1087"/>
    </row>
    <row r="578" spans="3:21" x14ac:dyDescent="0.25">
      <c r="C578" s="1136"/>
      <c r="L578" s="1087"/>
      <c r="U578" s="1087"/>
    </row>
    <row r="579" spans="3:21" x14ac:dyDescent="0.25">
      <c r="C579" s="1136"/>
      <c r="L579" s="1087"/>
      <c r="U579" s="1087"/>
    </row>
    <row r="580" spans="3:21" x14ac:dyDescent="0.25">
      <c r="C580" s="1136"/>
      <c r="L580" s="1087"/>
      <c r="U580" s="1087"/>
    </row>
    <row r="581" spans="3:21" x14ac:dyDescent="0.25">
      <c r="C581" s="1136"/>
      <c r="L581" s="1087"/>
      <c r="U581" s="1087"/>
    </row>
    <row r="582" spans="3:21" x14ac:dyDescent="0.25">
      <c r="C582" s="1136"/>
      <c r="L582" s="1087"/>
      <c r="U582" s="1087"/>
    </row>
    <row r="583" spans="3:21" x14ac:dyDescent="0.25">
      <c r="C583" s="1136"/>
      <c r="L583" s="1087"/>
      <c r="U583" s="1087"/>
    </row>
    <row r="584" spans="3:21" x14ac:dyDescent="0.25">
      <c r="C584" s="1136"/>
      <c r="L584" s="1087"/>
      <c r="U584" s="1087"/>
    </row>
    <row r="585" spans="3:21" x14ac:dyDescent="0.25">
      <c r="C585" s="1136"/>
      <c r="L585" s="1087"/>
      <c r="U585" s="1087"/>
    </row>
    <row r="586" spans="3:21" x14ac:dyDescent="0.25">
      <c r="C586" s="1136"/>
      <c r="L586" s="1087"/>
      <c r="U586" s="1087"/>
    </row>
    <row r="587" spans="3:21" x14ac:dyDescent="0.25">
      <c r="C587" s="1136"/>
      <c r="L587" s="1087"/>
      <c r="U587" s="1087"/>
    </row>
    <row r="588" spans="3:21" x14ac:dyDescent="0.25">
      <c r="C588" s="1136"/>
      <c r="L588" s="1087"/>
      <c r="U588" s="1087"/>
    </row>
    <row r="589" spans="3:21" x14ac:dyDescent="0.25">
      <c r="C589" s="1136"/>
      <c r="L589" s="1087"/>
      <c r="U589" s="1087"/>
    </row>
    <row r="590" spans="3:21" x14ac:dyDescent="0.25">
      <c r="C590" s="1136"/>
      <c r="L590" s="1087"/>
      <c r="U590" s="1087"/>
    </row>
    <row r="591" spans="3:21" x14ac:dyDescent="0.25">
      <c r="C591" s="1136"/>
      <c r="L591" s="1087"/>
      <c r="U591" s="1087"/>
    </row>
    <row r="592" spans="3:21" x14ac:dyDescent="0.25">
      <c r="C592" s="1136"/>
      <c r="L592" s="1087"/>
      <c r="U592" s="1087"/>
    </row>
    <row r="593" spans="3:21" x14ac:dyDescent="0.25">
      <c r="C593" s="1136"/>
      <c r="L593" s="1087"/>
      <c r="U593" s="1087"/>
    </row>
    <row r="594" spans="3:21" x14ac:dyDescent="0.25">
      <c r="C594" s="1136"/>
      <c r="L594" s="1087"/>
      <c r="U594" s="1087"/>
    </row>
    <row r="595" spans="3:21" x14ac:dyDescent="0.25">
      <c r="C595" s="1136"/>
      <c r="L595" s="1087"/>
      <c r="U595" s="1087"/>
    </row>
    <row r="596" spans="3:21" x14ac:dyDescent="0.25">
      <c r="C596" s="1136"/>
      <c r="L596" s="1087"/>
      <c r="U596" s="1087"/>
    </row>
    <row r="597" spans="3:21" x14ac:dyDescent="0.25">
      <c r="C597" s="1136"/>
      <c r="L597" s="1087"/>
      <c r="U597" s="1087"/>
    </row>
    <row r="598" spans="3:21" x14ac:dyDescent="0.25">
      <c r="C598" s="1136"/>
      <c r="L598" s="1087"/>
      <c r="U598" s="1087"/>
    </row>
    <row r="599" spans="3:21" x14ac:dyDescent="0.25">
      <c r="C599" s="1136"/>
      <c r="L599" s="1087"/>
      <c r="U599" s="1087"/>
    </row>
    <row r="600" spans="3:21" x14ac:dyDescent="0.25">
      <c r="C600" s="1136"/>
      <c r="L600" s="1087"/>
      <c r="U600" s="1087"/>
    </row>
    <row r="601" spans="3:21" x14ac:dyDescent="0.25">
      <c r="C601" s="1136"/>
      <c r="L601" s="1087"/>
      <c r="U601" s="1087"/>
    </row>
    <row r="602" spans="3:21" x14ac:dyDescent="0.25">
      <c r="C602" s="1136"/>
      <c r="L602" s="1087"/>
      <c r="U602" s="1087"/>
    </row>
    <row r="603" spans="3:21" x14ac:dyDescent="0.25">
      <c r="C603" s="1136"/>
      <c r="L603" s="1087"/>
      <c r="U603" s="1087"/>
    </row>
    <row r="604" spans="3:21" x14ac:dyDescent="0.25">
      <c r="C604" s="1136"/>
      <c r="L604" s="1087"/>
      <c r="U604" s="1087"/>
    </row>
    <row r="605" spans="3:21" x14ac:dyDescent="0.25">
      <c r="C605" s="1136"/>
      <c r="L605" s="1087"/>
      <c r="U605" s="1087"/>
    </row>
    <row r="606" spans="3:21" x14ac:dyDescent="0.25">
      <c r="C606" s="1136"/>
      <c r="L606" s="1087"/>
      <c r="U606" s="1087"/>
    </row>
    <row r="607" spans="3:21" x14ac:dyDescent="0.25">
      <c r="C607" s="1136"/>
      <c r="L607" s="1087"/>
      <c r="U607" s="1087"/>
    </row>
    <row r="608" spans="3:21" x14ac:dyDescent="0.25">
      <c r="C608" s="1136"/>
      <c r="L608" s="1087"/>
      <c r="U608" s="1087"/>
    </row>
    <row r="609" spans="3:21" x14ac:dyDescent="0.25">
      <c r="C609" s="1136"/>
      <c r="L609" s="1087"/>
      <c r="U609" s="1087"/>
    </row>
    <row r="610" spans="3:21" x14ac:dyDescent="0.25">
      <c r="C610" s="1136"/>
      <c r="L610" s="1087"/>
      <c r="U610" s="1087"/>
    </row>
    <row r="611" spans="3:21" x14ac:dyDescent="0.25">
      <c r="C611" s="1136"/>
      <c r="L611" s="1087"/>
      <c r="U611" s="1087"/>
    </row>
    <row r="612" spans="3:21" x14ac:dyDescent="0.25">
      <c r="C612" s="1136"/>
      <c r="L612" s="1087"/>
      <c r="U612" s="1087"/>
    </row>
    <row r="613" spans="3:21" x14ac:dyDescent="0.25">
      <c r="C613" s="1136"/>
      <c r="L613" s="1087"/>
      <c r="U613" s="1087"/>
    </row>
    <row r="614" spans="3:21" x14ac:dyDescent="0.25">
      <c r="C614" s="1136"/>
      <c r="L614" s="1087"/>
      <c r="U614" s="1087"/>
    </row>
    <row r="615" spans="3:21" x14ac:dyDescent="0.25">
      <c r="C615" s="1136"/>
      <c r="L615" s="1087"/>
      <c r="U615" s="1087"/>
    </row>
    <row r="616" spans="3:21" x14ac:dyDescent="0.25">
      <c r="C616" s="1136"/>
      <c r="L616" s="1087"/>
      <c r="U616" s="1087"/>
    </row>
    <row r="617" spans="3:21" x14ac:dyDescent="0.25">
      <c r="C617" s="1136"/>
      <c r="L617" s="1087"/>
      <c r="U617" s="1087"/>
    </row>
    <row r="618" spans="3:21" x14ac:dyDescent="0.25">
      <c r="C618" s="1136"/>
      <c r="L618" s="1087"/>
      <c r="U618" s="1087"/>
    </row>
    <row r="619" spans="3:21" x14ac:dyDescent="0.25">
      <c r="C619" s="1136"/>
      <c r="L619" s="1087"/>
      <c r="U619" s="1087"/>
    </row>
    <row r="620" spans="3:21" x14ac:dyDescent="0.25">
      <c r="C620" s="1136"/>
      <c r="L620" s="1087"/>
      <c r="U620" s="1087"/>
    </row>
    <row r="621" spans="3:21" x14ac:dyDescent="0.25">
      <c r="C621" s="1136"/>
      <c r="L621" s="1087"/>
      <c r="U621" s="1087"/>
    </row>
    <row r="622" spans="3:21" x14ac:dyDescent="0.25">
      <c r="C622" s="1136"/>
      <c r="L622" s="1087"/>
      <c r="U622" s="1087"/>
    </row>
    <row r="623" spans="3:21" x14ac:dyDescent="0.25">
      <c r="C623" s="1136"/>
      <c r="L623" s="1087"/>
      <c r="U623" s="1087"/>
    </row>
    <row r="624" spans="3:21" x14ac:dyDescent="0.25">
      <c r="C624" s="1136"/>
      <c r="L624" s="1087"/>
      <c r="U624" s="1087"/>
    </row>
    <row r="625" spans="3:21" x14ac:dyDescent="0.25">
      <c r="C625" s="1136"/>
      <c r="L625" s="1087"/>
      <c r="U625" s="1087"/>
    </row>
    <row r="626" spans="3:21" x14ac:dyDescent="0.25">
      <c r="C626" s="1136"/>
      <c r="L626" s="1087"/>
      <c r="U626" s="1087"/>
    </row>
    <row r="627" spans="3:21" x14ac:dyDescent="0.25">
      <c r="C627" s="1136"/>
      <c r="L627" s="1087"/>
      <c r="U627" s="1087"/>
    </row>
    <row r="628" spans="3:21" x14ac:dyDescent="0.25">
      <c r="C628" s="1136"/>
      <c r="L628" s="1087"/>
      <c r="U628" s="1087"/>
    </row>
    <row r="629" spans="3:21" x14ac:dyDescent="0.25">
      <c r="C629" s="1136"/>
      <c r="L629" s="1087"/>
      <c r="U629" s="1087"/>
    </row>
    <row r="630" spans="3:21" x14ac:dyDescent="0.25">
      <c r="C630" s="1136"/>
      <c r="L630" s="1087"/>
      <c r="U630" s="1087"/>
    </row>
    <row r="631" spans="3:21" x14ac:dyDescent="0.25">
      <c r="C631" s="1136"/>
      <c r="L631" s="1087"/>
      <c r="U631" s="1087"/>
    </row>
    <row r="632" spans="3:21" x14ac:dyDescent="0.25">
      <c r="C632" s="1136"/>
      <c r="L632" s="1087"/>
      <c r="U632" s="1087"/>
    </row>
    <row r="633" spans="3:21" x14ac:dyDescent="0.25">
      <c r="C633" s="1136"/>
      <c r="L633" s="1087"/>
      <c r="U633" s="1087"/>
    </row>
    <row r="634" spans="3:21" x14ac:dyDescent="0.25">
      <c r="C634" s="1136"/>
      <c r="L634" s="1087"/>
      <c r="U634" s="1087"/>
    </row>
    <row r="635" spans="3:21" x14ac:dyDescent="0.25">
      <c r="C635" s="1136"/>
      <c r="L635" s="1087"/>
      <c r="U635" s="1087"/>
    </row>
    <row r="636" spans="3:21" x14ac:dyDescent="0.25">
      <c r="C636" s="1136"/>
      <c r="L636" s="1087"/>
      <c r="U636" s="1087"/>
    </row>
    <row r="637" spans="3:21" x14ac:dyDescent="0.25">
      <c r="C637" s="1136"/>
      <c r="L637" s="1087"/>
      <c r="U637" s="1087"/>
    </row>
    <row r="638" spans="3:21" x14ac:dyDescent="0.25">
      <c r="C638" s="1136"/>
      <c r="L638" s="1087"/>
      <c r="U638" s="1087"/>
    </row>
    <row r="639" spans="3:21" x14ac:dyDescent="0.25">
      <c r="C639" s="1136"/>
      <c r="L639" s="1087"/>
      <c r="U639" s="1087"/>
    </row>
    <row r="640" spans="3:21" x14ac:dyDescent="0.25">
      <c r="C640" s="1136"/>
      <c r="L640" s="1087"/>
      <c r="U640" s="1087"/>
    </row>
    <row r="641" spans="3:21" x14ac:dyDescent="0.25">
      <c r="C641" s="1136"/>
      <c r="L641" s="1087"/>
      <c r="U641" s="1087"/>
    </row>
    <row r="642" spans="3:21" x14ac:dyDescent="0.25">
      <c r="C642" s="1136"/>
      <c r="L642" s="1087"/>
      <c r="U642" s="1087"/>
    </row>
    <row r="643" spans="3:21" x14ac:dyDescent="0.25">
      <c r="C643" s="1136"/>
      <c r="L643" s="1087"/>
      <c r="U643" s="1087"/>
    </row>
    <row r="644" spans="3:21" x14ac:dyDescent="0.25">
      <c r="C644" s="1136"/>
      <c r="L644" s="1087"/>
      <c r="U644" s="1087"/>
    </row>
    <row r="645" spans="3:21" x14ac:dyDescent="0.25">
      <c r="C645" s="1136"/>
      <c r="L645" s="1087"/>
      <c r="U645" s="1087"/>
    </row>
    <row r="646" spans="3:21" x14ac:dyDescent="0.25">
      <c r="C646" s="1136"/>
      <c r="L646" s="1087"/>
      <c r="U646" s="1087"/>
    </row>
    <row r="647" spans="3:21" x14ac:dyDescent="0.25">
      <c r="C647" s="1136"/>
      <c r="L647" s="1087"/>
      <c r="U647" s="1087"/>
    </row>
    <row r="648" spans="3:21" x14ac:dyDescent="0.25">
      <c r="C648" s="1136"/>
      <c r="L648" s="1087"/>
      <c r="U648" s="1087"/>
    </row>
    <row r="649" spans="3:21" x14ac:dyDescent="0.25">
      <c r="C649" s="1136"/>
      <c r="L649" s="1087"/>
      <c r="U649" s="1087"/>
    </row>
    <row r="650" spans="3:21" x14ac:dyDescent="0.25">
      <c r="C650" s="1136"/>
      <c r="L650" s="1087"/>
      <c r="U650" s="1087"/>
    </row>
    <row r="651" spans="3:21" x14ac:dyDescent="0.25">
      <c r="C651" s="1136"/>
      <c r="L651" s="1087"/>
      <c r="U651" s="1087"/>
    </row>
    <row r="652" spans="3:21" x14ac:dyDescent="0.25">
      <c r="C652" s="1136"/>
      <c r="L652" s="1087"/>
      <c r="U652" s="1087"/>
    </row>
    <row r="653" spans="3:21" x14ac:dyDescent="0.25">
      <c r="C653" s="1136"/>
      <c r="L653" s="1087"/>
      <c r="U653" s="1087"/>
    </row>
    <row r="654" spans="3:21" x14ac:dyDescent="0.25">
      <c r="C654" s="1136"/>
      <c r="L654" s="1087"/>
      <c r="U654" s="1087"/>
    </row>
    <row r="655" spans="3:21" x14ac:dyDescent="0.25">
      <c r="C655" s="1136"/>
      <c r="L655" s="1087"/>
      <c r="U655" s="1087"/>
    </row>
    <row r="656" spans="3:21" x14ac:dyDescent="0.25">
      <c r="C656" s="1136"/>
      <c r="L656" s="1087"/>
      <c r="U656" s="1087"/>
    </row>
    <row r="657" spans="3:21" x14ac:dyDescent="0.25">
      <c r="C657" s="1136"/>
      <c r="L657" s="1087"/>
      <c r="U657" s="1087"/>
    </row>
    <row r="658" spans="3:21" x14ac:dyDescent="0.25">
      <c r="C658" s="1136"/>
      <c r="L658" s="1087"/>
      <c r="U658" s="1087"/>
    </row>
    <row r="659" spans="3:21" x14ac:dyDescent="0.25">
      <c r="C659" s="1136"/>
      <c r="L659" s="1087"/>
      <c r="U659" s="1087"/>
    </row>
    <row r="660" spans="3:21" x14ac:dyDescent="0.25">
      <c r="C660" s="1136"/>
      <c r="L660" s="1087"/>
      <c r="U660" s="1087"/>
    </row>
    <row r="661" spans="3:21" x14ac:dyDescent="0.25">
      <c r="C661" s="1136"/>
      <c r="L661" s="1087"/>
      <c r="U661" s="1087"/>
    </row>
    <row r="662" spans="3:21" x14ac:dyDescent="0.25">
      <c r="C662" s="1136"/>
      <c r="L662" s="1087"/>
      <c r="U662" s="1087"/>
    </row>
    <row r="663" spans="3:21" x14ac:dyDescent="0.25">
      <c r="C663" s="1136"/>
      <c r="L663" s="1087"/>
      <c r="U663" s="1087"/>
    </row>
    <row r="664" spans="3:21" x14ac:dyDescent="0.25">
      <c r="C664" s="1136"/>
      <c r="L664" s="1087"/>
      <c r="U664" s="1087"/>
    </row>
    <row r="665" spans="3:21" x14ac:dyDescent="0.25">
      <c r="C665" s="1136"/>
      <c r="L665" s="1087"/>
      <c r="U665" s="1087"/>
    </row>
    <row r="666" spans="3:21" x14ac:dyDescent="0.25">
      <c r="C666" s="1136"/>
      <c r="L666" s="1087"/>
      <c r="U666" s="1087"/>
    </row>
    <row r="667" spans="3:21" x14ac:dyDescent="0.25">
      <c r="C667" s="1136"/>
      <c r="L667" s="1087"/>
      <c r="U667" s="1087"/>
    </row>
    <row r="668" spans="3:21" x14ac:dyDescent="0.25">
      <c r="C668" s="1136"/>
      <c r="L668" s="1087"/>
      <c r="U668" s="1087"/>
    </row>
    <row r="669" spans="3:21" x14ac:dyDescent="0.25">
      <c r="C669" s="1136"/>
      <c r="L669" s="1087"/>
      <c r="U669" s="1087"/>
    </row>
    <row r="670" spans="3:21" x14ac:dyDescent="0.25">
      <c r="C670" s="1136"/>
      <c r="L670" s="1087"/>
      <c r="U670" s="1087"/>
    </row>
    <row r="671" spans="3:21" x14ac:dyDescent="0.25">
      <c r="C671" s="1136"/>
      <c r="L671" s="1087"/>
      <c r="U671" s="1087"/>
    </row>
    <row r="672" spans="3:21" x14ac:dyDescent="0.25">
      <c r="C672" s="1136"/>
      <c r="L672" s="1087"/>
      <c r="U672" s="1087"/>
    </row>
    <row r="673" spans="3:21" x14ac:dyDescent="0.25">
      <c r="C673" s="1136"/>
      <c r="L673" s="1087"/>
      <c r="U673" s="1087"/>
    </row>
    <row r="674" spans="3:21" x14ac:dyDescent="0.25">
      <c r="C674" s="1136"/>
      <c r="L674" s="1087"/>
      <c r="U674" s="1087"/>
    </row>
    <row r="675" spans="3:21" x14ac:dyDescent="0.25">
      <c r="C675" s="1136"/>
      <c r="L675" s="1087"/>
      <c r="U675" s="1087"/>
    </row>
    <row r="676" spans="3:21" x14ac:dyDescent="0.25">
      <c r="C676" s="1136"/>
      <c r="L676" s="1087"/>
      <c r="U676" s="1087"/>
    </row>
    <row r="677" spans="3:21" x14ac:dyDescent="0.25">
      <c r="C677" s="1136"/>
      <c r="L677" s="1087"/>
      <c r="U677" s="1087"/>
    </row>
    <row r="678" spans="3:21" x14ac:dyDescent="0.25">
      <c r="C678" s="1136"/>
      <c r="L678" s="1087"/>
      <c r="U678" s="1087"/>
    </row>
    <row r="679" spans="3:21" x14ac:dyDescent="0.25">
      <c r="C679" s="1136"/>
      <c r="L679" s="1087"/>
      <c r="U679" s="1087"/>
    </row>
    <row r="680" spans="3:21" x14ac:dyDescent="0.25">
      <c r="C680" s="1136"/>
      <c r="L680" s="1087"/>
      <c r="U680" s="1087"/>
    </row>
    <row r="681" spans="3:21" x14ac:dyDescent="0.25">
      <c r="C681" s="1136"/>
      <c r="L681" s="1087"/>
      <c r="U681" s="1087"/>
    </row>
    <row r="682" spans="3:21" x14ac:dyDescent="0.25">
      <c r="C682" s="1136"/>
      <c r="L682" s="1087"/>
      <c r="U682" s="1087"/>
    </row>
    <row r="683" spans="3:21" x14ac:dyDescent="0.25">
      <c r="C683" s="1136"/>
      <c r="L683" s="1087"/>
      <c r="U683" s="1087"/>
    </row>
    <row r="684" spans="3:21" x14ac:dyDescent="0.25">
      <c r="C684" s="1136"/>
      <c r="L684" s="1087"/>
      <c r="U684" s="1087"/>
    </row>
    <row r="685" spans="3:21" x14ac:dyDescent="0.25">
      <c r="C685" s="1136"/>
      <c r="L685" s="1087"/>
      <c r="U685" s="1087"/>
    </row>
    <row r="686" spans="3:21" x14ac:dyDescent="0.25">
      <c r="C686" s="1136"/>
      <c r="L686" s="1087"/>
      <c r="U686" s="1087"/>
    </row>
    <row r="687" spans="3:21" x14ac:dyDescent="0.25">
      <c r="C687" s="1136"/>
      <c r="L687" s="1087"/>
      <c r="U687" s="1087"/>
    </row>
    <row r="688" spans="3:21" x14ac:dyDescent="0.25">
      <c r="C688" s="1136"/>
      <c r="L688" s="1087"/>
      <c r="U688" s="1087"/>
    </row>
    <row r="689" spans="3:21" x14ac:dyDescent="0.25">
      <c r="C689" s="1136"/>
      <c r="L689" s="1087"/>
      <c r="U689" s="1087"/>
    </row>
    <row r="690" spans="3:21" x14ac:dyDescent="0.25">
      <c r="C690" s="1136"/>
      <c r="L690" s="1087"/>
      <c r="U690" s="1087"/>
    </row>
    <row r="691" spans="3:21" x14ac:dyDescent="0.25">
      <c r="C691" s="1136"/>
      <c r="L691" s="1087"/>
      <c r="U691" s="1087"/>
    </row>
    <row r="692" spans="3:21" x14ac:dyDescent="0.25">
      <c r="C692" s="1136"/>
      <c r="L692" s="1087"/>
      <c r="U692" s="1087"/>
    </row>
    <row r="693" spans="3:21" x14ac:dyDescent="0.25">
      <c r="C693" s="1136"/>
      <c r="L693" s="1087"/>
      <c r="U693" s="1087"/>
    </row>
    <row r="694" spans="3:21" x14ac:dyDescent="0.25">
      <c r="C694" s="1136"/>
      <c r="L694" s="1087"/>
      <c r="U694" s="1087"/>
    </row>
    <row r="695" spans="3:21" x14ac:dyDescent="0.25">
      <c r="C695" s="1136"/>
      <c r="L695" s="1087"/>
      <c r="U695" s="1087"/>
    </row>
    <row r="696" spans="3:21" x14ac:dyDescent="0.25">
      <c r="C696" s="1136"/>
      <c r="L696" s="1087"/>
      <c r="U696" s="1087"/>
    </row>
    <row r="697" spans="3:21" x14ac:dyDescent="0.25">
      <c r="C697" s="1136"/>
      <c r="L697" s="1087"/>
      <c r="U697" s="1087"/>
    </row>
    <row r="698" spans="3:21" x14ac:dyDescent="0.25">
      <c r="C698" s="1136"/>
      <c r="L698" s="1087"/>
      <c r="U698" s="1087"/>
    </row>
    <row r="699" spans="3:21" x14ac:dyDescent="0.25">
      <c r="C699" s="1136"/>
      <c r="L699" s="1087"/>
      <c r="U699" s="1087"/>
    </row>
    <row r="700" spans="3:21" x14ac:dyDescent="0.25">
      <c r="C700" s="1136"/>
      <c r="L700" s="1087"/>
      <c r="U700" s="1087"/>
    </row>
    <row r="701" spans="3:21" x14ac:dyDescent="0.25">
      <c r="C701" s="1136"/>
      <c r="L701" s="1087"/>
      <c r="U701" s="1087"/>
    </row>
    <row r="702" spans="3:21" x14ac:dyDescent="0.25">
      <c r="C702" s="1136"/>
      <c r="L702" s="1087"/>
      <c r="U702" s="1087"/>
    </row>
    <row r="703" spans="3:21" x14ac:dyDescent="0.25">
      <c r="C703" s="1136"/>
      <c r="L703" s="1087"/>
      <c r="U703" s="1087"/>
    </row>
    <row r="704" spans="3:21" x14ac:dyDescent="0.25">
      <c r="C704" s="1136"/>
      <c r="L704" s="1087"/>
      <c r="U704" s="1087"/>
    </row>
    <row r="705" spans="3:21" x14ac:dyDescent="0.25">
      <c r="C705" s="1136"/>
      <c r="L705" s="1087"/>
      <c r="U705" s="1087"/>
    </row>
    <row r="706" spans="3:21" x14ac:dyDescent="0.25">
      <c r="C706" s="1136"/>
      <c r="L706" s="1087"/>
      <c r="U706" s="1087"/>
    </row>
    <row r="707" spans="3:21" x14ac:dyDescent="0.25">
      <c r="C707" s="1136"/>
      <c r="L707" s="1087"/>
      <c r="U707" s="1087"/>
    </row>
    <row r="708" spans="3:21" x14ac:dyDescent="0.25">
      <c r="C708" s="1136"/>
      <c r="L708" s="1087"/>
      <c r="U708" s="1087"/>
    </row>
    <row r="709" spans="3:21" x14ac:dyDescent="0.25">
      <c r="C709" s="1136"/>
      <c r="L709" s="1087"/>
      <c r="U709" s="1087"/>
    </row>
    <row r="710" spans="3:21" x14ac:dyDescent="0.25">
      <c r="C710" s="1136"/>
      <c r="L710" s="1087"/>
      <c r="U710" s="1087"/>
    </row>
    <row r="711" spans="3:21" x14ac:dyDescent="0.25">
      <c r="C711" s="1136"/>
      <c r="L711" s="1087"/>
      <c r="U711" s="1087"/>
    </row>
    <row r="712" spans="3:21" x14ac:dyDescent="0.25">
      <c r="C712" s="1136"/>
      <c r="L712" s="1087"/>
      <c r="U712" s="1087"/>
    </row>
    <row r="713" spans="3:21" x14ac:dyDescent="0.25">
      <c r="C713" s="1136"/>
      <c r="L713" s="1087"/>
      <c r="U713" s="1087"/>
    </row>
    <row r="714" spans="3:21" x14ac:dyDescent="0.25">
      <c r="C714" s="1136"/>
      <c r="L714" s="1087"/>
      <c r="U714" s="1087"/>
    </row>
    <row r="715" spans="3:21" x14ac:dyDescent="0.25">
      <c r="C715" s="1136"/>
      <c r="L715" s="1087"/>
      <c r="U715" s="1087"/>
    </row>
    <row r="716" spans="3:21" x14ac:dyDescent="0.25">
      <c r="C716" s="1136"/>
      <c r="L716" s="1087"/>
      <c r="U716" s="1087"/>
    </row>
    <row r="717" spans="3:21" x14ac:dyDescent="0.25">
      <c r="C717" s="1136"/>
      <c r="L717" s="1087"/>
      <c r="U717" s="1087"/>
    </row>
    <row r="718" spans="3:21" x14ac:dyDescent="0.25">
      <c r="C718" s="1136"/>
      <c r="L718" s="1087"/>
      <c r="U718" s="1087"/>
    </row>
    <row r="719" spans="3:21" x14ac:dyDescent="0.25">
      <c r="C719" s="1136"/>
      <c r="L719" s="1087"/>
      <c r="U719" s="1087"/>
    </row>
    <row r="720" spans="3:21" x14ac:dyDescent="0.25">
      <c r="C720" s="1136"/>
      <c r="L720" s="1087"/>
      <c r="U720" s="1087"/>
    </row>
    <row r="721" spans="3:21" x14ac:dyDescent="0.25">
      <c r="C721" s="1136"/>
      <c r="L721" s="1087"/>
      <c r="U721" s="1087"/>
    </row>
    <row r="722" spans="3:21" x14ac:dyDescent="0.25">
      <c r="C722" s="1136"/>
      <c r="L722" s="1087"/>
      <c r="U722" s="1087"/>
    </row>
    <row r="723" spans="3:21" x14ac:dyDescent="0.25">
      <c r="C723" s="1136"/>
      <c r="L723" s="1087"/>
      <c r="U723" s="1087"/>
    </row>
    <row r="724" spans="3:21" x14ac:dyDescent="0.25">
      <c r="C724" s="1136"/>
      <c r="L724" s="1087"/>
      <c r="U724" s="1087"/>
    </row>
    <row r="725" spans="3:21" x14ac:dyDescent="0.25">
      <c r="C725" s="1136"/>
      <c r="L725" s="1087"/>
      <c r="U725" s="1087"/>
    </row>
    <row r="726" spans="3:21" x14ac:dyDescent="0.25">
      <c r="C726" s="1136"/>
      <c r="L726" s="1087"/>
      <c r="U726" s="1087"/>
    </row>
    <row r="727" spans="3:21" x14ac:dyDescent="0.25">
      <c r="C727" s="1136"/>
      <c r="L727" s="1087"/>
      <c r="U727" s="1087"/>
    </row>
    <row r="728" spans="3:21" x14ac:dyDescent="0.25">
      <c r="C728" s="1136"/>
      <c r="L728" s="1087"/>
      <c r="U728" s="1087"/>
    </row>
    <row r="729" spans="3:21" x14ac:dyDescent="0.25">
      <c r="C729" s="1136"/>
      <c r="L729" s="1087"/>
      <c r="U729" s="1087"/>
    </row>
    <row r="730" spans="3:21" x14ac:dyDescent="0.25">
      <c r="C730" s="1136"/>
      <c r="L730" s="1087"/>
      <c r="U730" s="1087"/>
    </row>
    <row r="731" spans="3:21" x14ac:dyDescent="0.25">
      <c r="C731" s="1136"/>
      <c r="L731" s="1087"/>
      <c r="U731" s="1087"/>
    </row>
    <row r="732" spans="3:21" x14ac:dyDescent="0.25">
      <c r="C732" s="1136"/>
      <c r="L732" s="1087"/>
      <c r="U732" s="1087"/>
    </row>
    <row r="733" spans="3:21" x14ac:dyDescent="0.25">
      <c r="C733" s="1136"/>
      <c r="L733" s="1087"/>
      <c r="U733" s="1087"/>
    </row>
    <row r="734" spans="3:21" x14ac:dyDescent="0.25">
      <c r="C734" s="1136"/>
      <c r="L734" s="1087"/>
      <c r="U734" s="1087"/>
    </row>
    <row r="735" spans="3:21" x14ac:dyDescent="0.25">
      <c r="C735" s="1136"/>
      <c r="L735" s="1087"/>
      <c r="U735" s="1087"/>
    </row>
    <row r="736" spans="3:21" x14ac:dyDescent="0.25">
      <c r="C736" s="1136"/>
      <c r="L736" s="1087"/>
      <c r="U736" s="1087"/>
    </row>
    <row r="737" spans="3:21" x14ac:dyDescent="0.25">
      <c r="C737" s="1136"/>
      <c r="L737" s="1087"/>
      <c r="U737" s="1087"/>
    </row>
    <row r="738" spans="3:21" x14ac:dyDescent="0.25">
      <c r="C738" s="1136"/>
      <c r="L738" s="1087"/>
      <c r="U738" s="1087"/>
    </row>
    <row r="739" spans="3:21" x14ac:dyDescent="0.25">
      <c r="C739" s="1136"/>
      <c r="L739" s="1087"/>
      <c r="U739" s="1087"/>
    </row>
    <row r="740" spans="3:21" x14ac:dyDescent="0.25">
      <c r="C740" s="1136"/>
      <c r="L740" s="1087"/>
      <c r="U740" s="1087"/>
    </row>
    <row r="741" spans="3:21" x14ac:dyDescent="0.25">
      <c r="C741" s="1136"/>
      <c r="L741" s="1087"/>
      <c r="U741" s="1087"/>
    </row>
    <row r="742" spans="3:21" x14ac:dyDescent="0.25">
      <c r="C742" s="1136"/>
      <c r="L742" s="1087"/>
      <c r="U742" s="1087"/>
    </row>
    <row r="743" spans="3:21" x14ac:dyDescent="0.25">
      <c r="C743" s="1136"/>
      <c r="L743" s="1087"/>
      <c r="U743" s="1087"/>
    </row>
    <row r="744" spans="3:21" x14ac:dyDescent="0.25">
      <c r="C744" s="1136"/>
      <c r="L744" s="1087"/>
      <c r="U744" s="1087"/>
    </row>
    <row r="745" spans="3:21" x14ac:dyDescent="0.25">
      <c r="C745" s="1136"/>
      <c r="L745" s="1087"/>
      <c r="U745" s="1087"/>
    </row>
    <row r="746" spans="3:21" x14ac:dyDescent="0.25">
      <c r="C746" s="1136"/>
      <c r="L746" s="1087"/>
      <c r="U746" s="1087"/>
    </row>
    <row r="747" spans="3:21" x14ac:dyDescent="0.25">
      <c r="C747" s="1136"/>
      <c r="L747" s="1087"/>
      <c r="U747" s="1087"/>
    </row>
    <row r="748" spans="3:21" x14ac:dyDescent="0.25">
      <c r="C748" s="1136"/>
      <c r="L748" s="1087"/>
      <c r="U748" s="1087"/>
    </row>
    <row r="749" spans="3:21" x14ac:dyDescent="0.25">
      <c r="C749" s="1136"/>
      <c r="L749" s="1087"/>
      <c r="U749" s="1087"/>
    </row>
    <row r="750" spans="3:21" x14ac:dyDescent="0.25">
      <c r="C750" s="1136"/>
      <c r="L750" s="1087"/>
      <c r="U750" s="1087"/>
    </row>
    <row r="751" spans="3:21" x14ac:dyDescent="0.25">
      <c r="C751" s="1136"/>
      <c r="L751" s="1087"/>
      <c r="U751" s="1087"/>
    </row>
    <row r="752" spans="3:21" x14ac:dyDescent="0.25">
      <c r="C752" s="1136"/>
      <c r="L752" s="1087"/>
      <c r="U752" s="1087"/>
    </row>
    <row r="753" spans="3:21" x14ac:dyDescent="0.25">
      <c r="C753" s="1136"/>
      <c r="L753" s="1087"/>
      <c r="U753" s="1087"/>
    </row>
    <row r="754" spans="3:21" x14ac:dyDescent="0.25">
      <c r="C754" s="1136"/>
      <c r="L754" s="1087"/>
      <c r="U754" s="1087"/>
    </row>
    <row r="755" spans="3:21" x14ac:dyDescent="0.25">
      <c r="C755" s="1136"/>
      <c r="L755" s="1087"/>
      <c r="U755" s="1087"/>
    </row>
    <row r="756" spans="3:21" x14ac:dyDescent="0.25">
      <c r="C756" s="1136"/>
      <c r="L756" s="1087"/>
      <c r="U756" s="1087"/>
    </row>
    <row r="757" spans="3:21" x14ac:dyDescent="0.25">
      <c r="C757" s="1136"/>
      <c r="L757" s="1087"/>
      <c r="U757" s="1087"/>
    </row>
    <row r="758" spans="3:21" x14ac:dyDescent="0.25">
      <c r="C758" s="1136"/>
      <c r="L758" s="1087"/>
      <c r="U758" s="1087"/>
    </row>
    <row r="759" spans="3:21" x14ac:dyDescent="0.25">
      <c r="C759" s="1136"/>
      <c r="L759" s="1087"/>
      <c r="U759" s="1087"/>
    </row>
    <row r="760" spans="3:21" x14ac:dyDescent="0.25">
      <c r="C760" s="1136"/>
      <c r="L760" s="1087"/>
      <c r="U760" s="1087"/>
    </row>
    <row r="761" spans="3:21" x14ac:dyDescent="0.25">
      <c r="C761" s="1136"/>
      <c r="L761" s="1087"/>
      <c r="U761" s="1087"/>
    </row>
    <row r="762" spans="3:21" x14ac:dyDescent="0.25">
      <c r="C762" s="1136"/>
      <c r="L762" s="1087"/>
      <c r="U762" s="1087"/>
    </row>
    <row r="763" spans="3:21" x14ac:dyDescent="0.25">
      <c r="C763" s="1136"/>
      <c r="L763" s="1087"/>
      <c r="U763" s="1087"/>
    </row>
    <row r="764" spans="3:21" x14ac:dyDescent="0.25">
      <c r="C764" s="1136"/>
      <c r="L764" s="1087"/>
      <c r="U764" s="1087"/>
    </row>
    <row r="765" spans="3:21" x14ac:dyDescent="0.25">
      <c r="C765" s="1136"/>
      <c r="L765" s="1087"/>
      <c r="U765" s="1087"/>
    </row>
    <row r="766" spans="3:21" x14ac:dyDescent="0.25">
      <c r="C766" s="1136"/>
      <c r="L766" s="1087"/>
      <c r="U766" s="1087"/>
    </row>
    <row r="767" spans="3:21" x14ac:dyDescent="0.25">
      <c r="C767" s="1136"/>
      <c r="L767" s="1087"/>
      <c r="U767" s="1087"/>
    </row>
    <row r="768" spans="3:21" x14ac:dyDescent="0.25">
      <c r="C768" s="1136"/>
      <c r="L768" s="1087"/>
      <c r="U768" s="1087"/>
    </row>
    <row r="769" spans="3:21" x14ac:dyDescent="0.25">
      <c r="C769" s="1136"/>
      <c r="L769" s="1087"/>
      <c r="U769" s="1087"/>
    </row>
    <row r="770" spans="3:21" x14ac:dyDescent="0.25">
      <c r="C770" s="1136"/>
      <c r="L770" s="1087"/>
      <c r="U770" s="1087"/>
    </row>
    <row r="771" spans="3:21" x14ac:dyDescent="0.25">
      <c r="C771" s="1136"/>
      <c r="L771" s="1087"/>
      <c r="U771" s="1087"/>
    </row>
    <row r="772" spans="3:21" x14ac:dyDescent="0.25">
      <c r="C772" s="1136"/>
      <c r="L772" s="1087"/>
      <c r="U772" s="1087"/>
    </row>
    <row r="773" spans="3:21" x14ac:dyDescent="0.25">
      <c r="C773" s="1136"/>
      <c r="L773" s="1087"/>
      <c r="U773" s="1087"/>
    </row>
    <row r="774" spans="3:21" x14ac:dyDescent="0.25">
      <c r="C774" s="1136"/>
      <c r="L774" s="1087"/>
      <c r="U774" s="1087"/>
    </row>
    <row r="775" spans="3:21" x14ac:dyDescent="0.25">
      <c r="C775" s="1136"/>
      <c r="L775" s="1087"/>
      <c r="U775" s="1087"/>
    </row>
    <row r="776" spans="3:21" x14ac:dyDescent="0.25">
      <c r="C776" s="1136"/>
      <c r="L776" s="1087"/>
      <c r="U776" s="1087"/>
    </row>
    <row r="777" spans="3:21" x14ac:dyDescent="0.25">
      <c r="C777" s="1136"/>
      <c r="L777" s="1087"/>
      <c r="U777" s="1087"/>
    </row>
    <row r="778" spans="3:21" x14ac:dyDescent="0.25">
      <c r="C778" s="1136"/>
      <c r="L778" s="1087"/>
      <c r="U778" s="1087"/>
    </row>
    <row r="779" spans="3:21" x14ac:dyDescent="0.25">
      <c r="C779" s="1136"/>
      <c r="L779" s="1087"/>
      <c r="U779" s="1087"/>
    </row>
    <row r="780" spans="3:21" x14ac:dyDescent="0.25">
      <c r="C780" s="1136"/>
      <c r="L780" s="1087"/>
      <c r="U780" s="1087"/>
    </row>
    <row r="781" spans="3:21" x14ac:dyDescent="0.25">
      <c r="C781" s="1136"/>
      <c r="L781" s="1087"/>
      <c r="U781" s="1087"/>
    </row>
    <row r="782" spans="3:21" x14ac:dyDescent="0.25">
      <c r="C782" s="1136"/>
      <c r="L782" s="1087"/>
      <c r="U782" s="1087"/>
    </row>
    <row r="783" spans="3:21" x14ac:dyDescent="0.25">
      <c r="C783" s="1136"/>
      <c r="L783" s="1087"/>
      <c r="U783" s="1087"/>
    </row>
    <row r="784" spans="3:21" x14ac:dyDescent="0.25">
      <c r="C784" s="1136"/>
      <c r="L784" s="1087"/>
      <c r="U784" s="1087"/>
    </row>
    <row r="785" spans="3:21" x14ac:dyDescent="0.25">
      <c r="C785" s="1136"/>
      <c r="L785" s="1087"/>
      <c r="U785" s="1087"/>
    </row>
    <row r="786" spans="3:21" x14ac:dyDescent="0.25">
      <c r="C786" s="1136"/>
      <c r="L786" s="1087"/>
      <c r="U786" s="1087"/>
    </row>
    <row r="787" spans="3:21" x14ac:dyDescent="0.25">
      <c r="C787" s="1136"/>
      <c r="L787" s="1087"/>
      <c r="U787" s="1087"/>
    </row>
    <row r="788" spans="3:21" x14ac:dyDescent="0.25">
      <c r="C788" s="1136"/>
      <c r="L788" s="1087"/>
      <c r="U788" s="1087"/>
    </row>
    <row r="789" spans="3:21" x14ac:dyDescent="0.25">
      <c r="C789" s="1136"/>
      <c r="L789" s="1087"/>
      <c r="U789" s="1087"/>
    </row>
    <row r="790" spans="3:21" x14ac:dyDescent="0.25">
      <c r="C790" s="1136"/>
      <c r="L790" s="1087"/>
      <c r="U790" s="1087"/>
    </row>
    <row r="791" spans="3:21" x14ac:dyDescent="0.25">
      <c r="C791" s="1136"/>
      <c r="L791" s="1087"/>
      <c r="U791" s="1087"/>
    </row>
    <row r="792" spans="3:21" x14ac:dyDescent="0.25">
      <c r="C792" s="1136"/>
      <c r="L792" s="1087"/>
      <c r="U792" s="1087"/>
    </row>
    <row r="793" spans="3:21" x14ac:dyDescent="0.25">
      <c r="C793" s="1136"/>
      <c r="L793" s="1087"/>
      <c r="U793" s="1087"/>
    </row>
    <row r="794" spans="3:21" x14ac:dyDescent="0.25">
      <c r="C794" s="1136"/>
      <c r="L794" s="1087"/>
      <c r="U794" s="1087"/>
    </row>
    <row r="795" spans="3:21" x14ac:dyDescent="0.25">
      <c r="C795" s="1136"/>
      <c r="L795" s="1087"/>
      <c r="U795" s="1087"/>
    </row>
    <row r="796" spans="3:21" x14ac:dyDescent="0.25">
      <c r="C796" s="1136"/>
      <c r="L796" s="1087"/>
      <c r="U796" s="1087"/>
    </row>
    <row r="797" spans="3:21" x14ac:dyDescent="0.25">
      <c r="C797" s="1136"/>
      <c r="L797" s="1087"/>
      <c r="U797" s="1087"/>
    </row>
    <row r="798" spans="3:21" x14ac:dyDescent="0.25">
      <c r="C798" s="1136"/>
      <c r="L798" s="1087"/>
      <c r="U798" s="1087"/>
    </row>
    <row r="799" spans="3:21" x14ac:dyDescent="0.25">
      <c r="C799" s="1136"/>
      <c r="L799" s="1087"/>
      <c r="U799" s="1087"/>
    </row>
    <row r="800" spans="3:21" x14ac:dyDescent="0.25">
      <c r="C800" s="1136"/>
      <c r="L800" s="1087"/>
      <c r="U800" s="1087"/>
    </row>
    <row r="801" spans="3:21" x14ac:dyDescent="0.25">
      <c r="C801" s="1136"/>
      <c r="L801" s="1087"/>
      <c r="U801" s="1087"/>
    </row>
    <row r="802" spans="3:21" x14ac:dyDescent="0.25">
      <c r="C802" s="1136"/>
      <c r="L802" s="1087"/>
      <c r="U802" s="1087"/>
    </row>
    <row r="803" spans="3:21" x14ac:dyDescent="0.25">
      <c r="C803" s="1136"/>
      <c r="L803" s="1087"/>
      <c r="U803" s="1087"/>
    </row>
    <row r="804" spans="3:21" x14ac:dyDescent="0.25">
      <c r="C804" s="1136"/>
      <c r="L804" s="1087"/>
      <c r="U804" s="1087"/>
    </row>
    <row r="805" spans="3:21" x14ac:dyDescent="0.25">
      <c r="C805" s="1136"/>
      <c r="L805" s="1087"/>
      <c r="U805" s="1087"/>
    </row>
    <row r="806" spans="3:21" x14ac:dyDescent="0.25">
      <c r="C806" s="1136"/>
      <c r="L806" s="1087"/>
      <c r="U806" s="1087"/>
    </row>
    <row r="807" spans="3:21" x14ac:dyDescent="0.25">
      <c r="C807" s="1136"/>
      <c r="L807" s="1087"/>
      <c r="U807" s="1087"/>
    </row>
    <row r="808" spans="3:21" x14ac:dyDescent="0.25">
      <c r="C808" s="1136"/>
      <c r="L808" s="1087"/>
      <c r="U808" s="1087"/>
    </row>
    <row r="809" spans="3:21" x14ac:dyDescent="0.25">
      <c r="C809" s="1136"/>
      <c r="L809" s="1087"/>
      <c r="U809" s="1087"/>
    </row>
    <row r="810" spans="3:21" x14ac:dyDescent="0.25">
      <c r="C810" s="1136"/>
      <c r="L810" s="1087"/>
      <c r="U810" s="1087"/>
    </row>
    <row r="811" spans="3:21" x14ac:dyDescent="0.25">
      <c r="C811" s="1136"/>
      <c r="L811" s="1087"/>
      <c r="U811" s="1087"/>
    </row>
    <row r="812" spans="3:21" x14ac:dyDescent="0.25">
      <c r="C812" s="1136"/>
      <c r="L812" s="1087"/>
      <c r="U812" s="1087"/>
    </row>
    <row r="813" spans="3:21" x14ac:dyDescent="0.25">
      <c r="C813" s="1136"/>
      <c r="L813" s="1087"/>
      <c r="U813" s="1087"/>
    </row>
    <row r="814" spans="3:21" x14ac:dyDescent="0.25">
      <c r="C814" s="1136"/>
      <c r="L814" s="1087"/>
      <c r="U814" s="1087"/>
    </row>
    <row r="815" spans="3:21" x14ac:dyDescent="0.25">
      <c r="C815" s="1136"/>
      <c r="L815" s="1087"/>
      <c r="U815" s="1087"/>
    </row>
    <row r="816" spans="3:21" x14ac:dyDescent="0.25">
      <c r="C816" s="1136"/>
      <c r="L816" s="1087"/>
      <c r="U816" s="1087"/>
    </row>
    <row r="817" spans="3:21" x14ac:dyDescent="0.25">
      <c r="C817" s="1136"/>
      <c r="L817" s="1087"/>
      <c r="U817" s="1087"/>
    </row>
    <row r="818" spans="3:21" x14ac:dyDescent="0.25">
      <c r="C818" s="1136"/>
      <c r="L818" s="1087"/>
      <c r="U818" s="1087"/>
    </row>
    <row r="819" spans="3:21" x14ac:dyDescent="0.25">
      <c r="C819" s="1136"/>
      <c r="L819" s="1087"/>
      <c r="U819" s="1087"/>
    </row>
    <row r="820" spans="3:21" x14ac:dyDescent="0.25">
      <c r="C820" s="1136"/>
      <c r="L820" s="1087"/>
      <c r="U820" s="1087"/>
    </row>
    <row r="821" spans="3:21" x14ac:dyDescent="0.25">
      <c r="C821" s="1136"/>
      <c r="L821" s="1087"/>
      <c r="U821" s="1087"/>
    </row>
    <row r="822" spans="3:21" x14ac:dyDescent="0.25">
      <c r="C822" s="1136"/>
      <c r="L822" s="1087"/>
      <c r="U822" s="1087"/>
    </row>
    <row r="823" spans="3:21" x14ac:dyDescent="0.25">
      <c r="C823" s="1136"/>
      <c r="L823" s="1087"/>
      <c r="U823" s="1087"/>
    </row>
    <row r="824" spans="3:21" x14ac:dyDescent="0.25">
      <c r="C824" s="1136"/>
      <c r="L824" s="1087"/>
      <c r="U824" s="1087"/>
    </row>
    <row r="825" spans="3:21" x14ac:dyDescent="0.25">
      <c r="C825" s="1136"/>
      <c r="L825" s="1087"/>
      <c r="U825" s="1087"/>
    </row>
    <row r="826" spans="3:21" x14ac:dyDescent="0.25">
      <c r="C826" s="1136"/>
      <c r="L826" s="1087"/>
      <c r="U826" s="1087"/>
    </row>
    <row r="827" spans="3:21" x14ac:dyDescent="0.25">
      <c r="C827" s="1136"/>
      <c r="L827" s="1087"/>
      <c r="U827" s="1087"/>
    </row>
    <row r="828" spans="3:21" x14ac:dyDescent="0.25">
      <c r="C828" s="1136"/>
      <c r="L828" s="1087"/>
      <c r="U828" s="1087"/>
    </row>
    <row r="829" spans="3:21" x14ac:dyDescent="0.25">
      <c r="C829" s="1136"/>
      <c r="L829" s="1087"/>
      <c r="U829" s="1087"/>
    </row>
    <row r="830" spans="3:21" x14ac:dyDescent="0.25">
      <c r="C830" s="1136"/>
      <c r="L830" s="1087"/>
      <c r="U830" s="1087"/>
    </row>
    <row r="831" spans="3:21" x14ac:dyDescent="0.25">
      <c r="C831" s="1136"/>
      <c r="L831" s="1087"/>
      <c r="U831" s="1087"/>
    </row>
    <row r="832" spans="3:21" x14ac:dyDescent="0.25">
      <c r="C832" s="1136"/>
      <c r="L832" s="1087"/>
      <c r="U832" s="1087"/>
    </row>
    <row r="833" spans="3:21" x14ac:dyDescent="0.25">
      <c r="C833" s="1136"/>
      <c r="L833" s="1087"/>
      <c r="U833" s="1087"/>
    </row>
    <row r="834" spans="3:21" x14ac:dyDescent="0.25">
      <c r="C834" s="1136"/>
      <c r="L834" s="1087"/>
      <c r="U834" s="1087"/>
    </row>
    <row r="835" spans="3:21" x14ac:dyDescent="0.25">
      <c r="C835" s="1136"/>
      <c r="L835" s="1087"/>
      <c r="U835" s="1087"/>
    </row>
    <row r="836" spans="3:21" x14ac:dyDescent="0.25">
      <c r="C836" s="1136"/>
      <c r="L836" s="1087"/>
      <c r="U836" s="1087"/>
    </row>
    <row r="837" spans="3:21" x14ac:dyDescent="0.25">
      <c r="C837" s="1136"/>
      <c r="L837" s="1087"/>
      <c r="U837" s="1087"/>
    </row>
    <row r="838" spans="3:21" x14ac:dyDescent="0.25">
      <c r="C838" s="1136"/>
      <c r="L838" s="1087"/>
      <c r="U838" s="1087"/>
    </row>
    <row r="839" spans="3:21" x14ac:dyDescent="0.25">
      <c r="C839" s="1136"/>
      <c r="L839" s="1087"/>
      <c r="U839" s="1087"/>
    </row>
    <row r="840" spans="3:21" x14ac:dyDescent="0.25">
      <c r="C840" s="1136"/>
      <c r="L840" s="1087"/>
      <c r="U840" s="1087"/>
    </row>
    <row r="841" spans="3:21" x14ac:dyDescent="0.25">
      <c r="C841" s="1136"/>
      <c r="L841" s="1087"/>
      <c r="U841" s="1087"/>
    </row>
    <row r="842" spans="3:21" x14ac:dyDescent="0.25">
      <c r="C842" s="1136"/>
      <c r="L842" s="1087"/>
      <c r="U842" s="1087"/>
    </row>
    <row r="843" spans="3:21" x14ac:dyDescent="0.25">
      <c r="C843" s="1136"/>
      <c r="L843" s="1087"/>
      <c r="U843" s="1087"/>
    </row>
    <row r="844" spans="3:21" x14ac:dyDescent="0.25">
      <c r="C844" s="1136"/>
      <c r="L844" s="1087"/>
      <c r="U844" s="1087"/>
    </row>
    <row r="845" spans="3:21" x14ac:dyDescent="0.25">
      <c r="C845" s="1136"/>
      <c r="L845" s="1087"/>
      <c r="U845" s="1087"/>
    </row>
    <row r="846" spans="3:21" x14ac:dyDescent="0.25">
      <c r="C846" s="1136"/>
      <c r="L846" s="1087"/>
      <c r="U846" s="1087"/>
    </row>
    <row r="847" spans="3:21" x14ac:dyDescent="0.25">
      <c r="C847" s="1136"/>
      <c r="L847" s="1087"/>
      <c r="U847" s="1087"/>
    </row>
    <row r="848" spans="3:21" x14ac:dyDescent="0.25">
      <c r="C848" s="1136"/>
      <c r="L848" s="1087"/>
      <c r="U848" s="1087"/>
    </row>
    <row r="849" spans="3:21" x14ac:dyDescent="0.25">
      <c r="C849" s="1136"/>
      <c r="L849" s="1087"/>
      <c r="U849" s="1087"/>
    </row>
    <row r="850" spans="3:21" x14ac:dyDescent="0.25">
      <c r="C850" s="1136"/>
      <c r="L850" s="1087"/>
      <c r="U850" s="1087"/>
    </row>
    <row r="851" spans="3:21" x14ac:dyDescent="0.25">
      <c r="C851" s="1136"/>
      <c r="L851" s="1087"/>
      <c r="U851" s="1087"/>
    </row>
    <row r="852" spans="3:21" x14ac:dyDescent="0.25">
      <c r="C852" s="1136"/>
      <c r="L852" s="1087"/>
      <c r="U852" s="1087"/>
    </row>
    <row r="853" spans="3:21" x14ac:dyDescent="0.25">
      <c r="C853" s="1136"/>
      <c r="L853" s="1087"/>
      <c r="U853" s="1087"/>
    </row>
    <row r="854" spans="3:21" x14ac:dyDescent="0.25">
      <c r="C854" s="1136"/>
      <c r="L854" s="1087"/>
      <c r="U854" s="1087"/>
    </row>
    <row r="855" spans="3:21" x14ac:dyDescent="0.25">
      <c r="C855" s="1136"/>
      <c r="L855" s="1087"/>
      <c r="U855" s="1087"/>
    </row>
    <row r="856" spans="3:21" x14ac:dyDescent="0.25">
      <c r="C856" s="1136"/>
      <c r="L856" s="1087"/>
      <c r="U856" s="1087"/>
    </row>
    <row r="857" spans="3:21" x14ac:dyDescent="0.25">
      <c r="C857" s="1136"/>
      <c r="L857" s="1087"/>
      <c r="U857" s="1087"/>
    </row>
    <row r="858" spans="3:21" x14ac:dyDescent="0.25">
      <c r="C858" s="1136"/>
      <c r="L858" s="1087"/>
      <c r="U858" s="1087"/>
    </row>
    <row r="859" spans="3:21" x14ac:dyDescent="0.25">
      <c r="C859" s="1136"/>
      <c r="L859" s="1087"/>
      <c r="U859" s="1087"/>
    </row>
    <row r="860" spans="3:21" x14ac:dyDescent="0.25">
      <c r="C860" s="1136"/>
      <c r="L860" s="1087"/>
      <c r="U860" s="1087"/>
    </row>
    <row r="861" spans="3:21" x14ac:dyDescent="0.25">
      <c r="C861" s="1136"/>
      <c r="L861" s="1087"/>
      <c r="U861" s="1087"/>
    </row>
    <row r="862" spans="3:21" x14ac:dyDescent="0.25">
      <c r="C862" s="1136"/>
      <c r="L862" s="1087"/>
      <c r="U862" s="1087"/>
    </row>
    <row r="863" spans="3:21" x14ac:dyDescent="0.25">
      <c r="C863" s="1136"/>
      <c r="L863" s="1087"/>
      <c r="U863" s="1087"/>
    </row>
    <row r="864" spans="3:21" x14ac:dyDescent="0.25">
      <c r="C864" s="1136"/>
      <c r="L864" s="1087"/>
      <c r="U864" s="1087"/>
    </row>
    <row r="865" spans="3:21" x14ac:dyDescent="0.25">
      <c r="C865" s="1136"/>
      <c r="L865" s="1087"/>
      <c r="U865" s="1087"/>
    </row>
    <row r="866" spans="3:21" x14ac:dyDescent="0.25">
      <c r="C866" s="1136"/>
      <c r="L866" s="1087"/>
      <c r="U866" s="1087"/>
    </row>
    <row r="867" spans="3:21" x14ac:dyDescent="0.25">
      <c r="C867" s="1136"/>
      <c r="L867" s="1087"/>
      <c r="U867" s="1087"/>
    </row>
    <row r="868" spans="3:21" x14ac:dyDescent="0.25">
      <c r="C868" s="1136"/>
      <c r="L868" s="1087"/>
      <c r="U868" s="1087"/>
    </row>
    <row r="869" spans="3:21" x14ac:dyDescent="0.25">
      <c r="C869" s="1136"/>
      <c r="L869" s="1087"/>
      <c r="U869" s="1087"/>
    </row>
    <row r="870" spans="3:21" x14ac:dyDescent="0.25">
      <c r="C870" s="1136"/>
      <c r="L870" s="1087"/>
      <c r="U870" s="1087"/>
    </row>
    <row r="871" spans="3:21" x14ac:dyDescent="0.25">
      <c r="C871" s="1136"/>
      <c r="L871" s="1087"/>
      <c r="U871" s="1087"/>
    </row>
    <row r="872" spans="3:21" x14ac:dyDescent="0.25">
      <c r="C872" s="1136"/>
      <c r="L872" s="1087"/>
      <c r="U872" s="1087"/>
    </row>
    <row r="873" spans="3:21" x14ac:dyDescent="0.25">
      <c r="C873" s="1136"/>
      <c r="L873" s="1087"/>
      <c r="U873" s="1087"/>
    </row>
    <row r="874" spans="3:21" x14ac:dyDescent="0.25">
      <c r="C874" s="1136"/>
      <c r="L874" s="1087"/>
      <c r="U874" s="1087"/>
    </row>
    <row r="875" spans="3:21" x14ac:dyDescent="0.25">
      <c r="C875" s="1136"/>
      <c r="L875" s="1087"/>
      <c r="U875" s="1087"/>
    </row>
    <row r="876" spans="3:21" x14ac:dyDescent="0.25">
      <c r="C876" s="1136"/>
      <c r="L876" s="1087"/>
      <c r="U876" s="1087"/>
    </row>
    <row r="877" spans="3:21" x14ac:dyDescent="0.25">
      <c r="C877" s="1136"/>
      <c r="L877" s="1087"/>
      <c r="U877" s="1087"/>
    </row>
    <row r="878" spans="3:21" x14ac:dyDescent="0.25">
      <c r="C878" s="1136"/>
      <c r="L878" s="1087"/>
      <c r="U878" s="1087"/>
    </row>
    <row r="879" spans="3:21" x14ac:dyDescent="0.25">
      <c r="C879" s="1136"/>
      <c r="L879" s="1087"/>
      <c r="U879" s="1087"/>
    </row>
    <row r="880" spans="3:21" x14ac:dyDescent="0.25">
      <c r="C880" s="1136"/>
      <c r="L880" s="1087"/>
      <c r="U880" s="1087"/>
    </row>
    <row r="881" spans="3:21" x14ac:dyDescent="0.25">
      <c r="C881" s="1136"/>
      <c r="L881" s="1087"/>
      <c r="U881" s="1087"/>
    </row>
    <row r="882" spans="3:21" x14ac:dyDescent="0.25">
      <c r="C882" s="1136"/>
      <c r="L882" s="1087"/>
      <c r="U882" s="1087"/>
    </row>
    <row r="883" spans="3:21" x14ac:dyDescent="0.25">
      <c r="C883" s="1136"/>
      <c r="L883" s="1087"/>
      <c r="U883" s="1087"/>
    </row>
    <row r="884" spans="3:21" x14ac:dyDescent="0.25">
      <c r="C884" s="1136"/>
      <c r="L884" s="1087"/>
      <c r="U884" s="1087"/>
    </row>
    <row r="885" spans="3:21" x14ac:dyDescent="0.25">
      <c r="C885" s="1136"/>
      <c r="L885" s="1087"/>
      <c r="U885" s="1087"/>
    </row>
    <row r="886" spans="3:21" x14ac:dyDescent="0.25">
      <c r="C886" s="1136"/>
      <c r="L886" s="1087"/>
      <c r="U886" s="1087"/>
    </row>
    <row r="887" spans="3:21" x14ac:dyDescent="0.25">
      <c r="C887" s="1136"/>
      <c r="L887" s="1087"/>
      <c r="U887" s="1087"/>
    </row>
    <row r="888" spans="3:21" x14ac:dyDescent="0.25">
      <c r="C888" s="1136"/>
      <c r="L888" s="1087"/>
      <c r="U888" s="1087"/>
    </row>
    <row r="889" spans="3:21" x14ac:dyDescent="0.25">
      <c r="C889" s="1136"/>
      <c r="L889" s="1087"/>
      <c r="U889" s="1087"/>
    </row>
    <row r="890" spans="3:21" x14ac:dyDescent="0.25">
      <c r="C890" s="1136"/>
      <c r="L890" s="1087"/>
      <c r="U890" s="1087"/>
    </row>
    <row r="891" spans="3:21" x14ac:dyDescent="0.25">
      <c r="C891" s="1136"/>
      <c r="L891" s="1087"/>
      <c r="U891" s="1087"/>
    </row>
    <row r="892" spans="3:21" x14ac:dyDescent="0.25">
      <c r="C892" s="1136"/>
      <c r="L892" s="1087"/>
      <c r="U892" s="1087"/>
    </row>
    <row r="893" spans="3:21" x14ac:dyDescent="0.25">
      <c r="C893" s="1136"/>
      <c r="L893" s="1087"/>
      <c r="U893" s="1087"/>
    </row>
    <row r="894" spans="3:21" x14ac:dyDescent="0.25">
      <c r="C894" s="1136"/>
      <c r="L894" s="1087"/>
      <c r="U894" s="1087"/>
    </row>
    <row r="895" spans="3:21" x14ac:dyDescent="0.25">
      <c r="C895" s="1136"/>
      <c r="L895" s="1087"/>
      <c r="U895" s="1087"/>
    </row>
    <row r="896" spans="3:21" x14ac:dyDescent="0.25">
      <c r="C896" s="1136"/>
      <c r="L896" s="1087"/>
      <c r="U896" s="1087"/>
    </row>
    <row r="897" spans="3:21" x14ac:dyDescent="0.25">
      <c r="C897" s="1136"/>
      <c r="L897" s="1087"/>
      <c r="U897" s="1087"/>
    </row>
    <row r="898" spans="3:21" x14ac:dyDescent="0.25">
      <c r="C898" s="1136"/>
      <c r="L898" s="1087"/>
      <c r="U898" s="1087"/>
    </row>
    <row r="899" spans="3:21" x14ac:dyDescent="0.25">
      <c r="C899" s="1136"/>
      <c r="L899" s="1087"/>
      <c r="U899" s="1087"/>
    </row>
    <row r="900" spans="3:21" x14ac:dyDescent="0.25">
      <c r="C900" s="1136"/>
      <c r="L900" s="1087"/>
      <c r="U900" s="1087"/>
    </row>
    <row r="901" spans="3:21" x14ac:dyDescent="0.25">
      <c r="C901" s="1136"/>
      <c r="L901" s="1087"/>
      <c r="U901" s="1087"/>
    </row>
    <row r="902" spans="3:21" x14ac:dyDescent="0.25">
      <c r="C902" s="1136"/>
      <c r="L902" s="1087"/>
      <c r="U902" s="1087"/>
    </row>
    <row r="903" spans="3:21" x14ac:dyDescent="0.25">
      <c r="C903" s="1136"/>
      <c r="L903" s="1087"/>
      <c r="U903" s="1087"/>
    </row>
    <row r="904" spans="3:21" x14ac:dyDescent="0.25">
      <c r="C904" s="1136"/>
      <c r="L904" s="1087"/>
      <c r="U904" s="1087"/>
    </row>
    <row r="905" spans="3:21" x14ac:dyDescent="0.25">
      <c r="C905" s="1136"/>
      <c r="L905" s="1087"/>
      <c r="U905" s="1087"/>
    </row>
    <row r="906" spans="3:21" x14ac:dyDescent="0.25">
      <c r="C906" s="1136"/>
      <c r="L906" s="1087"/>
      <c r="U906" s="1087"/>
    </row>
    <row r="907" spans="3:21" x14ac:dyDescent="0.25">
      <c r="C907" s="1136"/>
      <c r="L907" s="1087"/>
      <c r="U907" s="1087"/>
    </row>
    <row r="908" spans="3:21" x14ac:dyDescent="0.25">
      <c r="C908" s="1136"/>
      <c r="L908" s="1087"/>
      <c r="U908" s="1087"/>
    </row>
    <row r="909" spans="3:21" x14ac:dyDescent="0.25">
      <c r="C909" s="1136"/>
      <c r="L909" s="1087"/>
      <c r="U909" s="1087"/>
    </row>
    <row r="910" spans="3:21" x14ac:dyDescent="0.25">
      <c r="C910" s="1136"/>
      <c r="L910" s="1087"/>
      <c r="U910" s="1087"/>
    </row>
    <row r="911" spans="3:21" x14ac:dyDescent="0.25">
      <c r="C911" s="1136"/>
      <c r="L911" s="1087"/>
      <c r="U911" s="1087"/>
    </row>
    <row r="912" spans="3:21" x14ac:dyDescent="0.25">
      <c r="C912" s="1136"/>
      <c r="L912" s="1087"/>
      <c r="U912" s="1087"/>
    </row>
    <row r="913" spans="3:21" x14ac:dyDescent="0.25">
      <c r="C913" s="1136"/>
      <c r="L913" s="1087"/>
      <c r="U913" s="1087"/>
    </row>
    <row r="914" spans="3:21" x14ac:dyDescent="0.25">
      <c r="C914" s="1136"/>
      <c r="L914" s="1087"/>
      <c r="U914" s="1087"/>
    </row>
    <row r="915" spans="3:21" x14ac:dyDescent="0.25">
      <c r="C915" s="1136"/>
      <c r="L915" s="1087"/>
      <c r="U915" s="1087"/>
    </row>
    <row r="916" spans="3:21" x14ac:dyDescent="0.25">
      <c r="C916" s="1136"/>
      <c r="L916" s="1087"/>
      <c r="U916" s="1087"/>
    </row>
    <row r="917" spans="3:21" x14ac:dyDescent="0.25">
      <c r="C917" s="1136"/>
      <c r="L917" s="1087"/>
      <c r="U917" s="1087"/>
    </row>
    <row r="918" spans="3:21" x14ac:dyDescent="0.25">
      <c r="C918" s="1136"/>
      <c r="L918" s="1087"/>
      <c r="U918" s="1087"/>
    </row>
    <row r="919" spans="3:21" x14ac:dyDescent="0.25">
      <c r="C919" s="1136"/>
      <c r="L919" s="1087"/>
      <c r="U919" s="1087"/>
    </row>
    <row r="920" spans="3:21" x14ac:dyDescent="0.25">
      <c r="C920" s="1136"/>
      <c r="L920" s="1087"/>
      <c r="U920" s="1087"/>
    </row>
    <row r="921" spans="3:21" x14ac:dyDescent="0.25">
      <c r="C921" s="1136"/>
      <c r="L921" s="1087"/>
      <c r="U921" s="1087"/>
    </row>
    <row r="922" spans="3:21" x14ac:dyDescent="0.25">
      <c r="C922" s="1136"/>
      <c r="L922" s="1087"/>
      <c r="U922" s="1087"/>
    </row>
    <row r="923" spans="3:21" x14ac:dyDescent="0.25">
      <c r="C923" s="1136"/>
      <c r="L923" s="1087"/>
      <c r="U923" s="1087"/>
    </row>
    <row r="924" spans="3:21" x14ac:dyDescent="0.25">
      <c r="C924" s="1136"/>
      <c r="L924" s="1087"/>
      <c r="U924" s="1087"/>
    </row>
    <row r="925" spans="3:21" x14ac:dyDescent="0.25">
      <c r="C925" s="1136"/>
      <c r="L925" s="1087"/>
      <c r="U925" s="1087"/>
    </row>
    <row r="926" spans="3:21" x14ac:dyDescent="0.25">
      <c r="C926" s="1136"/>
      <c r="L926" s="1087"/>
      <c r="U926" s="1087"/>
    </row>
    <row r="927" spans="3:21" x14ac:dyDescent="0.25">
      <c r="C927" s="1136"/>
      <c r="L927" s="1087"/>
      <c r="U927" s="1087"/>
    </row>
    <row r="928" spans="3:21" x14ac:dyDescent="0.25">
      <c r="C928" s="1136"/>
      <c r="L928" s="1087"/>
      <c r="U928" s="1087"/>
    </row>
    <row r="929" spans="3:21" x14ac:dyDescent="0.25">
      <c r="C929" s="1136"/>
      <c r="L929" s="1087"/>
      <c r="U929" s="1087"/>
    </row>
    <row r="930" spans="3:21" x14ac:dyDescent="0.25">
      <c r="C930" s="1136"/>
      <c r="L930" s="1087"/>
      <c r="U930" s="1087"/>
    </row>
    <row r="931" spans="3:21" x14ac:dyDescent="0.25">
      <c r="C931" s="1136"/>
      <c r="L931" s="1087"/>
      <c r="U931" s="1087"/>
    </row>
    <row r="932" spans="3:21" x14ac:dyDescent="0.25">
      <c r="C932" s="1136"/>
      <c r="L932" s="1087"/>
      <c r="U932" s="1087"/>
    </row>
    <row r="933" spans="3:21" x14ac:dyDescent="0.25">
      <c r="C933" s="1136"/>
      <c r="L933" s="1087"/>
      <c r="U933" s="1087"/>
    </row>
    <row r="934" spans="3:21" x14ac:dyDescent="0.25">
      <c r="C934" s="1136"/>
      <c r="L934" s="1087"/>
      <c r="U934" s="1087"/>
    </row>
    <row r="935" spans="3:21" x14ac:dyDescent="0.25">
      <c r="C935" s="1136"/>
      <c r="L935" s="1087"/>
      <c r="U935" s="1087"/>
    </row>
    <row r="936" spans="3:21" x14ac:dyDescent="0.25">
      <c r="C936" s="1136"/>
      <c r="L936" s="1087"/>
      <c r="U936" s="1087"/>
    </row>
    <row r="937" spans="3:21" x14ac:dyDescent="0.25">
      <c r="C937" s="1136"/>
      <c r="L937" s="1087"/>
      <c r="U937" s="1087"/>
    </row>
    <row r="938" spans="3:21" x14ac:dyDescent="0.25">
      <c r="C938" s="1136"/>
      <c r="L938" s="1087"/>
      <c r="U938" s="1087"/>
    </row>
    <row r="939" spans="3:21" x14ac:dyDescent="0.25">
      <c r="C939" s="1136"/>
      <c r="L939" s="1087"/>
      <c r="U939" s="1087"/>
    </row>
    <row r="940" spans="3:21" x14ac:dyDescent="0.25">
      <c r="C940" s="1136"/>
      <c r="L940" s="1087"/>
      <c r="U940" s="1087"/>
    </row>
    <row r="941" spans="3:21" x14ac:dyDescent="0.25">
      <c r="C941" s="1136"/>
      <c r="L941" s="1087"/>
      <c r="U941" s="1087"/>
    </row>
    <row r="942" spans="3:21" x14ac:dyDescent="0.25">
      <c r="C942" s="1136"/>
      <c r="L942" s="1087"/>
      <c r="U942" s="1087"/>
    </row>
    <row r="943" spans="3:21" x14ac:dyDescent="0.25">
      <c r="C943" s="1136"/>
      <c r="L943" s="1087"/>
      <c r="U943" s="1087"/>
    </row>
    <row r="944" spans="3:21" x14ac:dyDescent="0.25">
      <c r="C944" s="1136"/>
      <c r="L944" s="1087"/>
      <c r="U944" s="1087"/>
    </row>
    <row r="945" spans="3:21" x14ac:dyDescent="0.25">
      <c r="C945" s="1136"/>
      <c r="L945" s="1087"/>
      <c r="U945" s="1087"/>
    </row>
    <row r="946" spans="3:21" x14ac:dyDescent="0.25">
      <c r="C946" s="1136"/>
      <c r="L946" s="1087"/>
      <c r="U946" s="1087"/>
    </row>
    <row r="947" spans="3:21" x14ac:dyDescent="0.25">
      <c r="C947" s="1136"/>
      <c r="L947" s="1087"/>
      <c r="U947" s="1087"/>
    </row>
    <row r="948" spans="3:21" x14ac:dyDescent="0.25">
      <c r="C948" s="1136"/>
      <c r="L948" s="1087"/>
      <c r="U948" s="1087"/>
    </row>
    <row r="949" spans="3:21" x14ac:dyDescent="0.25">
      <c r="C949" s="1136"/>
      <c r="L949" s="1087"/>
      <c r="U949" s="1087"/>
    </row>
    <row r="950" spans="3:21" x14ac:dyDescent="0.25">
      <c r="C950" s="1136"/>
      <c r="L950" s="1087"/>
      <c r="U950" s="1087"/>
    </row>
    <row r="951" spans="3:21" x14ac:dyDescent="0.25">
      <c r="C951" s="1136"/>
      <c r="L951" s="1087"/>
      <c r="U951" s="1087"/>
    </row>
    <row r="952" spans="3:21" x14ac:dyDescent="0.25">
      <c r="C952" s="1136"/>
      <c r="L952" s="1087"/>
      <c r="U952" s="1087"/>
    </row>
    <row r="953" spans="3:21" x14ac:dyDescent="0.25">
      <c r="C953" s="1136"/>
      <c r="L953" s="1087"/>
      <c r="U953" s="1087"/>
    </row>
    <row r="954" spans="3:21" x14ac:dyDescent="0.25">
      <c r="C954" s="1136"/>
      <c r="L954" s="1087"/>
      <c r="U954" s="1087"/>
    </row>
    <row r="955" spans="3:21" x14ac:dyDescent="0.25">
      <c r="C955" s="1136"/>
      <c r="L955" s="1087"/>
      <c r="U955" s="1087"/>
    </row>
    <row r="956" spans="3:21" x14ac:dyDescent="0.25">
      <c r="C956" s="1136"/>
      <c r="L956" s="1087"/>
      <c r="U956" s="1087"/>
    </row>
    <row r="957" spans="3:21" x14ac:dyDescent="0.25">
      <c r="C957" s="1136"/>
      <c r="L957" s="1087"/>
      <c r="U957" s="1087"/>
    </row>
    <row r="958" spans="3:21" x14ac:dyDescent="0.25">
      <c r="C958" s="1136"/>
      <c r="L958" s="1087"/>
      <c r="U958" s="1087"/>
    </row>
    <row r="959" spans="3:21" x14ac:dyDescent="0.25">
      <c r="C959" s="1136"/>
      <c r="L959" s="1087"/>
      <c r="U959" s="1087"/>
    </row>
    <row r="960" spans="3:21" x14ac:dyDescent="0.25">
      <c r="C960" s="1136"/>
      <c r="L960" s="1087"/>
      <c r="U960" s="1087"/>
    </row>
    <row r="961" spans="3:21" x14ac:dyDescent="0.25">
      <c r="C961" s="1136"/>
      <c r="L961" s="1087"/>
      <c r="U961" s="1087"/>
    </row>
    <row r="962" spans="3:21" x14ac:dyDescent="0.25">
      <c r="C962" s="1136"/>
      <c r="L962" s="1087"/>
      <c r="U962" s="1087"/>
    </row>
    <row r="963" spans="3:21" x14ac:dyDescent="0.25">
      <c r="C963" s="1136"/>
      <c r="L963" s="1087"/>
      <c r="U963" s="1087"/>
    </row>
    <row r="964" spans="3:21" x14ac:dyDescent="0.25">
      <c r="C964" s="1136"/>
      <c r="L964" s="1087"/>
      <c r="U964" s="1087"/>
    </row>
    <row r="965" spans="3:21" x14ac:dyDescent="0.25">
      <c r="C965" s="1136"/>
      <c r="L965" s="1087"/>
      <c r="U965" s="1087"/>
    </row>
    <row r="966" spans="3:21" x14ac:dyDescent="0.25">
      <c r="C966" s="1136"/>
      <c r="L966" s="1087"/>
      <c r="U966" s="1087"/>
    </row>
    <row r="967" spans="3:21" x14ac:dyDescent="0.25">
      <c r="C967" s="1136"/>
      <c r="L967" s="1087"/>
      <c r="U967" s="1087"/>
    </row>
    <row r="968" spans="3:21" x14ac:dyDescent="0.25">
      <c r="C968" s="1136"/>
      <c r="L968" s="1087"/>
      <c r="U968" s="1087"/>
    </row>
    <row r="969" spans="3:21" x14ac:dyDescent="0.25">
      <c r="C969" s="1136"/>
      <c r="L969" s="1087"/>
      <c r="U969" s="1087"/>
    </row>
    <row r="970" spans="3:21" x14ac:dyDescent="0.25">
      <c r="C970" s="1136"/>
      <c r="L970" s="1087"/>
      <c r="U970" s="1087"/>
    </row>
    <row r="971" spans="3:21" x14ac:dyDescent="0.25">
      <c r="C971" s="1136"/>
      <c r="L971" s="1087"/>
      <c r="U971" s="1087"/>
    </row>
    <row r="972" spans="3:21" x14ac:dyDescent="0.25">
      <c r="C972" s="1136"/>
      <c r="L972" s="1087"/>
      <c r="U972" s="1087"/>
    </row>
    <row r="973" spans="3:21" x14ac:dyDescent="0.25">
      <c r="C973" s="1136"/>
      <c r="L973" s="1087"/>
      <c r="U973" s="1087"/>
    </row>
    <row r="974" spans="3:21" x14ac:dyDescent="0.25">
      <c r="C974" s="1136"/>
      <c r="L974" s="1087"/>
      <c r="U974" s="1087"/>
    </row>
    <row r="975" spans="3:21" x14ac:dyDescent="0.25">
      <c r="C975" s="1136"/>
      <c r="L975" s="1087"/>
      <c r="U975" s="1087"/>
    </row>
    <row r="976" spans="3:21" x14ac:dyDescent="0.25">
      <c r="C976" s="1136"/>
      <c r="L976" s="1087"/>
      <c r="U976" s="1087"/>
    </row>
    <row r="977" spans="3:21" x14ac:dyDescent="0.25">
      <c r="C977" s="1136"/>
      <c r="L977" s="1087"/>
      <c r="U977" s="1087"/>
    </row>
    <row r="978" spans="3:21" x14ac:dyDescent="0.25">
      <c r="C978" s="1136"/>
      <c r="L978" s="1087"/>
      <c r="U978" s="1087"/>
    </row>
    <row r="979" spans="3:21" x14ac:dyDescent="0.25">
      <c r="C979" s="1136"/>
      <c r="L979" s="1087"/>
      <c r="U979" s="1087"/>
    </row>
    <row r="980" spans="3:21" x14ac:dyDescent="0.25">
      <c r="C980" s="1136"/>
      <c r="L980" s="1087"/>
      <c r="U980" s="1087"/>
    </row>
    <row r="981" spans="3:21" x14ac:dyDescent="0.25">
      <c r="C981" s="1136"/>
      <c r="L981" s="1087"/>
      <c r="U981" s="1087"/>
    </row>
    <row r="982" spans="3:21" x14ac:dyDescent="0.25">
      <c r="C982" s="1136"/>
      <c r="L982" s="1087"/>
      <c r="U982" s="1087"/>
    </row>
    <row r="983" spans="3:21" x14ac:dyDescent="0.25">
      <c r="C983" s="1136"/>
      <c r="L983" s="1087"/>
      <c r="U983" s="1087"/>
    </row>
    <row r="984" spans="3:21" x14ac:dyDescent="0.25">
      <c r="C984" s="1136"/>
      <c r="L984" s="1087"/>
      <c r="U984" s="1087"/>
    </row>
    <row r="985" spans="3:21" x14ac:dyDescent="0.25">
      <c r="C985" s="1136"/>
      <c r="L985" s="1087"/>
      <c r="U985" s="1087"/>
    </row>
    <row r="986" spans="3:21" x14ac:dyDescent="0.25">
      <c r="C986" s="1136"/>
      <c r="L986" s="1087"/>
      <c r="U986" s="1087"/>
    </row>
    <row r="987" spans="3:21" x14ac:dyDescent="0.25">
      <c r="C987" s="1136"/>
      <c r="L987" s="1087"/>
      <c r="U987" s="1087"/>
    </row>
    <row r="988" spans="3:21" x14ac:dyDescent="0.25">
      <c r="C988" s="1136"/>
      <c r="L988" s="1087"/>
      <c r="U988" s="1087"/>
    </row>
    <row r="989" spans="3:21" x14ac:dyDescent="0.25">
      <c r="C989" s="1136"/>
      <c r="L989" s="1087"/>
      <c r="U989" s="1087"/>
    </row>
    <row r="990" spans="3:21" x14ac:dyDescent="0.25">
      <c r="C990" s="1136"/>
      <c r="L990" s="1087"/>
      <c r="U990" s="1087"/>
    </row>
    <row r="991" spans="3:21" x14ac:dyDescent="0.25">
      <c r="C991" s="1136"/>
      <c r="L991" s="1087"/>
      <c r="U991" s="1087"/>
    </row>
    <row r="992" spans="3:21" x14ac:dyDescent="0.25">
      <c r="C992" s="1136"/>
      <c r="L992" s="1087"/>
      <c r="U992" s="1087"/>
    </row>
    <row r="993" spans="3:21" x14ac:dyDescent="0.25">
      <c r="C993" s="1136"/>
      <c r="L993" s="1087"/>
      <c r="U993" s="1087"/>
    </row>
    <row r="994" spans="3:21" x14ac:dyDescent="0.25">
      <c r="C994" s="1136"/>
      <c r="L994" s="1087"/>
      <c r="U994" s="1087"/>
    </row>
    <row r="995" spans="3:21" x14ac:dyDescent="0.25">
      <c r="C995" s="1136"/>
      <c r="L995" s="1087"/>
      <c r="U995" s="1087"/>
    </row>
    <row r="996" spans="3:21" x14ac:dyDescent="0.25">
      <c r="C996" s="1136"/>
      <c r="L996" s="1087"/>
      <c r="U996" s="1087"/>
    </row>
    <row r="997" spans="3:21" x14ac:dyDescent="0.25">
      <c r="C997" s="1136"/>
      <c r="L997" s="1087"/>
      <c r="U997" s="1087"/>
    </row>
    <row r="998" spans="3:21" x14ac:dyDescent="0.25">
      <c r="C998" s="1136"/>
      <c r="L998" s="1087"/>
      <c r="U998" s="1087"/>
    </row>
    <row r="999" spans="3:21" x14ac:dyDescent="0.25">
      <c r="C999" s="1136"/>
      <c r="L999" s="1087"/>
      <c r="U999" s="1087"/>
    </row>
    <row r="1000" spans="3:21" x14ac:dyDescent="0.25">
      <c r="C1000" s="1136"/>
      <c r="L1000" s="1087"/>
      <c r="U1000" s="1087"/>
    </row>
    <row r="1001" spans="3:21" x14ac:dyDescent="0.25">
      <c r="C1001" s="1136"/>
      <c r="L1001" s="1087"/>
      <c r="U1001" s="1087"/>
    </row>
    <row r="1002" spans="3:21" x14ac:dyDescent="0.25">
      <c r="C1002" s="1136"/>
      <c r="L1002" s="1087"/>
      <c r="U1002" s="1087"/>
    </row>
    <row r="1003" spans="3:21" x14ac:dyDescent="0.25">
      <c r="C1003" s="1136"/>
      <c r="L1003" s="1087"/>
      <c r="U1003" s="1087"/>
    </row>
    <row r="1004" spans="3:21" x14ac:dyDescent="0.25">
      <c r="C1004" s="1136"/>
      <c r="L1004" s="1087"/>
      <c r="U1004" s="1087"/>
    </row>
    <row r="1005" spans="3:21" x14ac:dyDescent="0.25">
      <c r="C1005" s="1136"/>
      <c r="L1005" s="1087"/>
      <c r="U1005" s="1087"/>
    </row>
    <row r="1006" spans="3:21" x14ac:dyDescent="0.25">
      <c r="C1006" s="1136"/>
      <c r="L1006" s="1087"/>
      <c r="U1006" s="1087"/>
    </row>
    <row r="1007" spans="3:21" x14ac:dyDescent="0.25">
      <c r="C1007" s="1136"/>
      <c r="L1007" s="1087"/>
      <c r="U1007" s="1087"/>
    </row>
    <row r="1008" spans="3:21" x14ac:dyDescent="0.25">
      <c r="C1008" s="1136"/>
      <c r="L1008" s="1087"/>
      <c r="U1008" s="1087"/>
    </row>
    <row r="1009" spans="3:21" x14ac:dyDescent="0.25">
      <c r="C1009" s="1136"/>
      <c r="L1009" s="1087"/>
      <c r="U1009" s="1087"/>
    </row>
    <row r="1010" spans="3:21" x14ac:dyDescent="0.25">
      <c r="C1010" s="1136"/>
      <c r="L1010" s="1087"/>
      <c r="U1010" s="1087"/>
    </row>
    <row r="1011" spans="3:21" x14ac:dyDescent="0.25">
      <c r="C1011" s="1136"/>
      <c r="L1011" s="1087"/>
      <c r="U1011" s="1087"/>
    </row>
    <row r="1012" spans="3:21" x14ac:dyDescent="0.25">
      <c r="C1012" s="1136"/>
      <c r="L1012" s="1087"/>
      <c r="U1012" s="1087"/>
    </row>
    <row r="1013" spans="3:21" x14ac:dyDescent="0.25">
      <c r="C1013" s="1136"/>
      <c r="L1013" s="1087"/>
      <c r="U1013" s="1087"/>
    </row>
    <row r="1014" spans="3:21" x14ac:dyDescent="0.25">
      <c r="C1014" s="1136"/>
      <c r="L1014" s="1087"/>
      <c r="U1014" s="1087"/>
    </row>
    <row r="1015" spans="3:21" x14ac:dyDescent="0.25">
      <c r="C1015" s="1136"/>
      <c r="L1015" s="1087"/>
      <c r="U1015" s="1087"/>
    </row>
    <row r="1016" spans="3:21" x14ac:dyDescent="0.25">
      <c r="C1016" s="1136"/>
      <c r="L1016" s="1087"/>
      <c r="U1016" s="1087"/>
    </row>
    <row r="1017" spans="3:21" x14ac:dyDescent="0.25">
      <c r="C1017" s="1136"/>
      <c r="L1017" s="1087"/>
      <c r="U1017" s="1087"/>
    </row>
    <row r="1018" spans="3:21" x14ac:dyDescent="0.25">
      <c r="C1018" s="1136"/>
      <c r="L1018" s="1087"/>
      <c r="U1018" s="1087"/>
    </row>
    <row r="1019" spans="3:21" x14ac:dyDescent="0.25">
      <c r="C1019" s="1136"/>
      <c r="L1019" s="1087"/>
      <c r="U1019" s="1087"/>
    </row>
    <row r="1020" spans="3:21" x14ac:dyDescent="0.25">
      <c r="C1020" s="1136"/>
      <c r="L1020" s="1087"/>
      <c r="U1020" s="1087"/>
    </row>
    <row r="1021" spans="3:21" x14ac:dyDescent="0.25">
      <c r="C1021" s="1136"/>
      <c r="L1021" s="1087"/>
      <c r="U1021" s="1087"/>
    </row>
    <row r="1022" spans="3:21" x14ac:dyDescent="0.25">
      <c r="C1022" s="1136"/>
      <c r="L1022" s="1087"/>
      <c r="U1022" s="1087"/>
    </row>
    <row r="1023" spans="3:21" x14ac:dyDescent="0.25">
      <c r="C1023" s="1136"/>
      <c r="L1023" s="1087"/>
      <c r="U1023" s="1087"/>
    </row>
    <row r="1024" spans="3:21" x14ac:dyDescent="0.25">
      <c r="C1024" s="1136"/>
      <c r="L1024" s="1087"/>
      <c r="U1024" s="1087"/>
    </row>
    <row r="1025" spans="3:21" x14ac:dyDescent="0.25">
      <c r="C1025" s="1136"/>
      <c r="L1025" s="1087"/>
      <c r="U1025" s="1087"/>
    </row>
    <row r="1026" spans="3:21" x14ac:dyDescent="0.25">
      <c r="C1026" s="1136"/>
      <c r="L1026" s="1087"/>
      <c r="U1026" s="1087"/>
    </row>
    <row r="1027" spans="3:21" x14ac:dyDescent="0.25">
      <c r="C1027" s="1136"/>
      <c r="L1027" s="1087"/>
      <c r="U1027" s="1087"/>
    </row>
    <row r="1028" spans="3:21" x14ac:dyDescent="0.25">
      <c r="C1028" s="1136"/>
      <c r="L1028" s="1087"/>
      <c r="U1028" s="1087"/>
    </row>
    <row r="1029" spans="3:21" x14ac:dyDescent="0.25">
      <c r="C1029" s="1136"/>
      <c r="L1029" s="1087"/>
      <c r="U1029" s="1087"/>
    </row>
    <row r="1030" spans="3:21" x14ac:dyDescent="0.25">
      <c r="C1030" s="1136"/>
      <c r="L1030" s="1087"/>
      <c r="U1030" s="1087"/>
    </row>
    <row r="1031" spans="3:21" x14ac:dyDescent="0.25">
      <c r="C1031" s="1136"/>
      <c r="L1031" s="1087"/>
      <c r="U1031" s="1087"/>
    </row>
    <row r="1032" spans="3:21" x14ac:dyDescent="0.25">
      <c r="C1032" s="1136"/>
      <c r="L1032" s="1087"/>
      <c r="U1032" s="1087"/>
    </row>
    <row r="1033" spans="3:21" x14ac:dyDescent="0.25">
      <c r="C1033" s="1136"/>
      <c r="L1033" s="1087"/>
      <c r="U1033" s="1087"/>
    </row>
    <row r="1034" spans="3:21" x14ac:dyDescent="0.25">
      <c r="C1034" s="1136"/>
      <c r="L1034" s="1087"/>
      <c r="U1034" s="1087"/>
    </row>
    <row r="1035" spans="3:21" x14ac:dyDescent="0.25">
      <c r="C1035" s="1136"/>
      <c r="L1035" s="1087"/>
      <c r="U1035" s="1087"/>
    </row>
    <row r="1036" spans="3:21" x14ac:dyDescent="0.25">
      <c r="C1036" s="1136"/>
      <c r="L1036" s="1087"/>
      <c r="U1036" s="1087"/>
    </row>
    <row r="1037" spans="3:21" x14ac:dyDescent="0.25">
      <c r="C1037" s="1136"/>
      <c r="L1037" s="1087"/>
      <c r="U1037" s="1087"/>
    </row>
    <row r="1038" spans="3:21" x14ac:dyDescent="0.25">
      <c r="C1038" s="1136"/>
      <c r="L1038" s="1087"/>
      <c r="U1038" s="1087"/>
    </row>
    <row r="1039" spans="3:21" x14ac:dyDescent="0.25">
      <c r="C1039" s="1136"/>
      <c r="L1039" s="1087"/>
      <c r="U1039" s="1087"/>
    </row>
    <row r="1040" spans="3:21" x14ac:dyDescent="0.25">
      <c r="C1040" s="1136"/>
      <c r="L1040" s="1087"/>
      <c r="U1040" s="1087"/>
    </row>
    <row r="1041" spans="3:21" x14ac:dyDescent="0.25">
      <c r="C1041" s="1136"/>
      <c r="L1041" s="1087"/>
      <c r="U1041" s="1087"/>
    </row>
    <row r="1042" spans="3:21" x14ac:dyDescent="0.25">
      <c r="C1042" s="1136"/>
      <c r="L1042" s="1087"/>
      <c r="U1042" s="1087"/>
    </row>
    <row r="1043" spans="3:21" x14ac:dyDescent="0.25">
      <c r="C1043" s="1136"/>
      <c r="L1043" s="1087"/>
      <c r="U1043" s="1087"/>
    </row>
    <row r="1044" spans="3:21" x14ac:dyDescent="0.25">
      <c r="C1044" s="1136"/>
      <c r="L1044" s="1087"/>
      <c r="U1044" s="1087"/>
    </row>
    <row r="1045" spans="3:21" x14ac:dyDescent="0.25">
      <c r="C1045" s="1136"/>
      <c r="L1045" s="1087"/>
      <c r="U1045" s="1087"/>
    </row>
    <row r="1046" spans="3:21" x14ac:dyDescent="0.25">
      <c r="C1046" s="1136"/>
      <c r="L1046" s="1087"/>
      <c r="U1046" s="1087"/>
    </row>
    <row r="1047" spans="3:21" x14ac:dyDescent="0.25">
      <c r="C1047" s="1136"/>
      <c r="L1047" s="1087"/>
      <c r="U1047" s="1087"/>
    </row>
    <row r="1048" spans="3:21" x14ac:dyDescent="0.25">
      <c r="C1048" s="1136"/>
      <c r="L1048" s="1087"/>
      <c r="U1048" s="1087"/>
    </row>
    <row r="1049" spans="3:21" x14ac:dyDescent="0.25">
      <c r="C1049" s="1136"/>
      <c r="L1049" s="1087"/>
      <c r="U1049" s="1087"/>
    </row>
    <row r="1050" spans="3:21" x14ac:dyDescent="0.25">
      <c r="C1050" s="1136"/>
      <c r="L1050" s="1087"/>
      <c r="U1050" s="1087"/>
    </row>
    <row r="1051" spans="3:21" x14ac:dyDescent="0.25">
      <c r="C1051" s="1136"/>
      <c r="L1051" s="1087"/>
      <c r="U1051" s="1087"/>
    </row>
    <row r="1052" spans="3:21" x14ac:dyDescent="0.25">
      <c r="C1052" s="1136"/>
      <c r="L1052" s="1087"/>
      <c r="U1052" s="1087"/>
    </row>
    <row r="1053" spans="3:21" x14ac:dyDescent="0.25">
      <c r="C1053" s="1136"/>
      <c r="L1053" s="1087"/>
      <c r="U1053" s="1087"/>
    </row>
    <row r="1054" spans="3:21" x14ac:dyDescent="0.25">
      <c r="C1054" s="1136"/>
      <c r="L1054" s="1087"/>
      <c r="U1054" s="1087"/>
    </row>
    <row r="1055" spans="3:21" x14ac:dyDescent="0.25">
      <c r="C1055" s="1136"/>
      <c r="L1055" s="1087"/>
      <c r="U1055" s="1087"/>
    </row>
    <row r="1056" spans="3:21" x14ac:dyDescent="0.25">
      <c r="C1056" s="1136"/>
      <c r="L1056" s="1087"/>
      <c r="U1056" s="1087"/>
    </row>
    <row r="1057" spans="3:21" x14ac:dyDescent="0.25">
      <c r="C1057" s="1136"/>
      <c r="L1057" s="1087"/>
      <c r="U1057" s="1087"/>
    </row>
    <row r="1058" spans="3:21" x14ac:dyDescent="0.25">
      <c r="C1058" s="1136"/>
      <c r="L1058" s="1087"/>
      <c r="U1058" s="1087"/>
    </row>
    <row r="1059" spans="3:21" x14ac:dyDescent="0.25">
      <c r="C1059" s="1136"/>
      <c r="L1059" s="1087"/>
      <c r="U1059" s="1087"/>
    </row>
    <row r="1060" spans="3:21" x14ac:dyDescent="0.25">
      <c r="C1060" s="1136"/>
      <c r="L1060" s="1087"/>
      <c r="U1060" s="1087"/>
    </row>
    <row r="1061" spans="3:21" x14ac:dyDescent="0.25">
      <c r="C1061" s="1136"/>
      <c r="L1061" s="1087"/>
      <c r="U1061" s="1087"/>
    </row>
    <row r="1062" spans="3:21" x14ac:dyDescent="0.25">
      <c r="C1062" s="1136"/>
      <c r="L1062" s="1087"/>
      <c r="U1062" s="1087"/>
    </row>
    <row r="1063" spans="3:21" x14ac:dyDescent="0.25">
      <c r="C1063" s="1136"/>
      <c r="L1063" s="1087"/>
      <c r="U1063" s="1087"/>
    </row>
    <row r="1064" spans="3:21" x14ac:dyDescent="0.25">
      <c r="C1064" s="1136"/>
      <c r="L1064" s="1087"/>
      <c r="U1064" s="1087"/>
    </row>
    <row r="1065" spans="3:21" x14ac:dyDescent="0.25">
      <c r="C1065" s="1136"/>
      <c r="L1065" s="1087"/>
      <c r="U1065" s="1087"/>
    </row>
    <row r="1066" spans="3:21" x14ac:dyDescent="0.25">
      <c r="C1066" s="1136"/>
      <c r="L1066" s="1087"/>
      <c r="U1066" s="1087"/>
    </row>
    <row r="1067" spans="3:21" x14ac:dyDescent="0.25">
      <c r="C1067" s="1136"/>
      <c r="L1067" s="1087"/>
      <c r="U1067" s="1087"/>
    </row>
    <row r="1068" spans="3:21" x14ac:dyDescent="0.25">
      <c r="C1068" s="1136"/>
      <c r="L1068" s="1087"/>
      <c r="U1068" s="1087"/>
    </row>
    <row r="1069" spans="3:21" x14ac:dyDescent="0.25">
      <c r="C1069" s="1136"/>
      <c r="L1069" s="1087"/>
      <c r="U1069" s="1087"/>
    </row>
    <row r="1070" spans="3:21" x14ac:dyDescent="0.25">
      <c r="C1070" s="1136"/>
      <c r="L1070" s="1087"/>
      <c r="U1070" s="1087"/>
    </row>
    <row r="1071" spans="3:21" x14ac:dyDescent="0.25">
      <c r="C1071" s="1136"/>
      <c r="L1071" s="1087"/>
      <c r="U1071" s="1087"/>
    </row>
    <row r="1072" spans="3:21" x14ac:dyDescent="0.25">
      <c r="C1072" s="1136"/>
      <c r="L1072" s="1087"/>
      <c r="U1072" s="1087"/>
    </row>
    <row r="1073" spans="3:21" x14ac:dyDescent="0.25">
      <c r="C1073" s="1136"/>
      <c r="L1073" s="1087"/>
      <c r="U1073" s="1087"/>
    </row>
    <row r="1074" spans="3:21" x14ac:dyDescent="0.25">
      <c r="C1074" s="1136"/>
      <c r="L1074" s="1087"/>
      <c r="U1074" s="1087"/>
    </row>
    <row r="1075" spans="3:21" x14ac:dyDescent="0.25">
      <c r="C1075" s="1136"/>
      <c r="L1075" s="1087"/>
      <c r="U1075" s="1087"/>
    </row>
    <row r="1076" spans="3:21" x14ac:dyDescent="0.25">
      <c r="C1076" s="1136"/>
      <c r="L1076" s="1087"/>
      <c r="U1076" s="1087"/>
    </row>
    <row r="1077" spans="3:21" x14ac:dyDescent="0.25">
      <c r="C1077" s="1136"/>
      <c r="L1077" s="1087"/>
      <c r="U1077" s="1087"/>
    </row>
    <row r="1078" spans="3:21" x14ac:dyDescent="0.25">
      <c r="C1078" s="1136"/>
      <c r="L1078" s="1087"/>
      <c r="U1078" s="1087"/>
    </row>
    <row r="1079" spans="3:21" x14ac:dyDescent="0.25">
      <c r="C1079" s="1136"/>
      <c r="L1079" s="1087"/>
      <c r="U1079" s="1087"/>
    </row>
    <row r="1080" spans="3:21" x14ac:dyDescent="0.25">
      <c r="C1080" s="1136"/>
      <c r="L1080" s="1087"/>
      <c r="U1080" s="1087"/>
    </row>
    <row r="1081" spans="3:21" x14ac:dyDescent="0.25">
      <c r="C1081" s="1136"/>
      <c r="L1081" s="1087"/>
      <c r="U1081" s="1087"/>
    </row>
    <row r="1082" spans="3:21" x14ac:dyDescent="0.25">
      <c r="C1082" s="1136"/>
      <c r="L1082" s="1087"/>
      <c r="U1082" s="1087"/>
    </row>
    <row r="1083" spans="3:21" x14ac:dyDescent="0.25">
      <c r="C1083" s="1136"/>
      <c r="L1083" s="1087"/>
      <c r="U1083" s="1087"/>
    </row>
    <row r="1084" spans="3:21" x14ac:dyDescent="0.25">
      <c r="C1084" s="1136"/>
      <c r="L1084" s="1087"/>
      <c r="U1084" s="1087"/>
    </row>
    <row r="1085" spans="3:21" x14ac:dyDescent="0.25">
      <c r="C1085" s="1136"/>
      <c r="L1085" s="1087"/>
      <c r="U1085" s="1087"/>
    </row>
    <row r="1086" spans="3:21" x14ac:dyDescent="0.25">
      <c r="C1086" s="1136"/>
      <c r="L1086" s="1087"/>
      <c r="U1086" s="1087"/>
    </row>
    <row r="1087" spans="3:21" x14ac:dyDescent="0.25">
      <c r="C1087" s="1136"/>
      <c r="L1087" s="1087"/>
      <c r="U1087" s="1087"/>
    </row>
    <row r="1088" spans="3:21" x14ac:dyDescent="0.25">
      <c r="C1088" s="1136"/>
      <c r="L1088" s="1087"/>
      <c r="U1088" s="1087"/>
    </row>
    <row r="1089" spans="3:21" x14ac:dyDescent="0.25">
      <c r="C1089" s="1136"/>
      <c r="L1089" s="1087"/>
      <c r="U1089" s="1087"/>
    </row>
    <row r="1090" spans="3:21" x14ac:dyDescent="0.25">
      <c r="C1090" s="1136"/>
      <c r="L1090" s="1087"/>
      <c r="U1090" s="1087"/>
    </row>
    <row r="1091" spans="3:21" x14ac:dyDescent="0.25">
      <c r="C1091" s="1136"/>
      <c r="L1091" s="1087"/>
      <c r="U1091" s="1087"/>
    </row>
    <row r="1092" spans="3:21" x14ac:dyDescent="0.25">
      <c r="C1092" s="1136"/>
      <c r="L1092" s="1087"/>
      <c r="U1092" s="1087"/>
    </row>
    <row r="1093" spans="3:21" x14ac:dyDescent="0.25">
      <c r="C1093" s="1136"/>
      <c r="L1093" s="1087"/>
      <c r="U1093" s="1087"/>
    </row>
    <row r="1094" spans="3:21" x14ac:dyDescent="0.25">
      <c r="C1094" s="1136"/>
      <c r="L1094" s="1087"/>
      <c r="U1094" s="1087"/>
    </row>
    <row r="1095" spans="3:21" x14ac:dyDescent="0.25">
      <c r="C1095" s="1136"/>
      <c r="L1095" s="1087"/>
      <c r="U1095" s="1087"/>
    </row>
    <row r="1096" spans="3:21" x14ac:dyDescent="0.25">
      <c r="C1096" s="1136"/>
      <c r="L1096" s="1087"/>
      <c r="U1096" s="1087"/>
    </row>
    <row r="1097" spans="3:21" x14ac:dyDescent="0.25">
      <c r="C1097" s="1136"/>
      <c r="L1097" s="1087"/>
      <c r="U1097" s="1087"/>
    </row>
    <row r="1098" spans="3:21" x14ac:dyDescent="0.25">
      <c r="C1098" s="1136"/>
      <c r="L1098" s="1087"/>
      <c r="U1098" s="1087"/>
    </row>
    <row r="1099" spans="3:21" x14ac:dyDescent="0.25">
      <c r="C1099" s="1136"/>
      <c r="L1099" s="1087"/>
      <c r="U1099" s="1087"/>
    </row>
    <row r="1100" spans="3:21" x14ac:dyDescent="0.25">
      <c r="C1100" s="1136"/>
      <c r="L1100" s="1087"/>
      <c r="U1100" s="1087"/>
    </row>
    <row r="1101" spans="3:21" x14ac:dyDescent="0.25">
      <c r="C1101" s="1136"/>
      <c r="L1101" s="1087"/>
      <c r="U1101" s="1087"/>
    </row>
    <row r="1102" spans="3:21" x14ac:dyDescent="0.25">
      <c r="C1102" s="1136"/>
      <c r="L1102" s="1087"/>
      <c r="U1102" s="1087"/>
    </row>
    <row r="1103" spans="3:21" x14ac:dyDescent="0.25">
      <c r="C1103" s="1136"/>
      <c r="L1103" s="1087"/>
      <c r="U1103" s="1087"/>
    </row>
    <row r="1104" spans="3:21" x14ac:dyDescent="0.25">
      <c r="C1104" s="1136"/>
      <c r="L1104" s="1087"/>
      <c r="U1104" s="1087"/>
    </row>
    <row r="1105" spans="3:21" x14ac:dyDescent="0.25">
      <c r="C1105" s="1136"/>
      <c r="L1105" s="1087"/>
      <c r="U1105" s="1087"/>
    </row>
    <row r="1106" spans="3:21" x14ac:dyDescent="0.25">
      <c r="C1106" s="1136"/>
      <c r="L1106" s="1087"/>
      <c r="U1106" s="1087"/>
    </row>
    <row r="1107" spans="3:21" x14ac:dyDescent="0.25">
      <c r="C1107" s="1136"/>
      <c r="L1107" s="1087"/>
      <c r="U1107" s="1087"/>
    </row>
    <row r="1108" spans="3:21" x14ac:dyDescent="0.25">
      <c r="C1108" s="1136"/>
      <c r="L1108" s="1087"/>
      <c r="U1108" s="1087"/>
    </row>
    <row r="1109" spans="3:21" x14ac:dyDescent="0.25">
      <c r="C1109" s="1136"/>
      <c r="L1109" s="1087"/>
      <c r="U1109" s="1087"/>
    </row>
    <row r="1110" spans="3:21" x14ac:dyDescent="0.25">
      <c r="C1110" s="1136"/>
      <c r="L1110" s="1087"/>
      <c r="U1110" s="1087"/>
    </row>
    <row r="1111" spans="3:21" x14ac:dyDescent="0.25">
      <c r="C1111" s="1136"/>
      <c r="L1111" s="1087"/>
      <c r="U1111" s="1087"/>
    </row>
    <row r="1112" spans="3:21" x14ac:dyDescent="0.25">
      <c r="C1112" s="1136"/>
      <c r="L1112" s="1087"/>
      <c r="U1112" s="1087"/>
    </row>
    <row r="1113" spans="3:21" x14ac:dyDescent="0.25">
      <c r="C1113" s="1136"/>
      <c r="L1113" s="1087"/>
      <c r="U1113" s="1087"/>
    </row>
    <row r="1114" spans="3:21" x14ac:dyDescent="0.25">
      <c r="C1114" s="1136"/>
      <c r="L1114" s="1087"/>
      <c r="U1114" s="1087"/>
    </row>
    <row r="1115" spans="3:21" x14ac:dyDescent="0.25">
      <c r="C1115" s="1136"/>
      <c r="L1115" s="1087"/>
      <c r="U1115" s="1087"/>
    </row>
    <row r="1116" spans="3:21" x14ac:dyDescent="0.25">
      <c r="C1116" s="1136"/>
      <c r="L1116" s="1087"/>
      <c r="U1116" s="1087"/>
    </row>
    <row r="1117" spans="3:21" x14ac:dyDescent="0.25">
      <c r="C1117" s="1136"/>
      <c r="L1117" s="1087"/>
      <c r="U1117" s="1087"/>
    </row>
    <row r="1118" spans="3:21" x14ac:dyDescent="0.25">
      <c r="C1118" s="1136"/>
      <c r="L1118" s="1087"/>
      <c r="U1118" s="1087"/>
    </row>
    <row r="1119" spans="3:21" x14ac:dyDescent="0.25">
      <c r="C1119" s="1136"/>
      <c r="L1119" s="1087"/>
      <c r="U1119" s="1087"/>
    </row>
    <row r="1120" spans="3:21" x14ac:dyDescent="0.25">
      <c r="C1120" s="1136"/>
      <c r="L1120" s="1087"/>
      <c r="U1120" s="1087"/>
    </row>
    <row r="1121" spans="3:21" x14ac:dyDescent="0.25">
      <c r="C1121" s="1136"/>
      <c r="L1121" s="1087"/>
      <c r="U1121" s="1087"/>
    </row>
    <row r="1122" spans="3:21" x14ac:dyDescent="0.25">
      <c r="C1122" s="1136"/>
      <c r="L1122" s="1087"/>
      <c r="U1122" s="1087"/>
    </row>
    <row r="1123" spans="3:21" x14ac:dyDescent="0.25">
      <c r="C1123" s="1136"/>
      <c r="L1123" s="1087"/>
      <c r="U1123" s="1087"/>
    </row>
    <row r="1124" spans="3:21" x14ac:dyDescent="0.25">
      <c r="C1124" s="1136"/>
      <c r="L1124" s="1087"/>
      <c r="U1124" s="1087"/>
    </row>
    <row r="1125" spans="3:21" x14ac:dyDescent="0.25">
      <c r="C1125" s="1136"/>
      <c r="L1125" s="1087"/>
      <c r="U1125" s="1087"/>
    </row>
    <row r="1126" spans="3:21" x14ac:dyDescent="0.25">
      <c r="C1126" s="1136"/>
      <c r="L1126" s="1087"/>
      <c r="U1126" s="1087"/>
    </row>
    <row r="1127" spans="3:21" x14ac:dyDescent="0.25">
      <c r="C1127" s="1136"/>
      <c r="L1127" s="1087"/>
      <c r="U1127" s="1087"/>
    </row>
    <row r="1128" spans="3:21" x14ac:dyDescent="0.25">
      <c r="C1128" s="1136"/>
      <c r="L1128" s="1087"/>
      <c r="U1128" s="1087"/>
    </row>
    <row r="1129" spans="3:21" x14ac:dyDescent="0.25">
      <c r="C1129" s="1136"/>
      <c r="L1129" s="1087"/>
      <c r="U1129" s="1087"/>
    </row>
    <row r="1130" spans="3:21" x14ac:dyDescent="0.25">
      <c r="C1130" s="1136"/>
      <c r="L1130" s="1087"/>
      <c r="U1130" s="1087"/>
    </row>
    <row r="1131" spans="3:21" x14ac:dyDescent="0.25">
      <c r="C1131" s="1136"/>
      <c r="L1131" s="1087"/>
      <c r="U1131" s="1087"/>
    </row>
    <row r="1132" spans="3:21" x14ac:dyDescent="0.25">
      <c r="C1132" s="1136"/>
      <c r="L1132" s="1087"/>
      <c r="U1132" s="1087"/>
    </row>
    <row r="1133" spans="3:21" x14ac:dyDescent="0.25">
      <c r="C1133" s="1136"/>
      <c r="L1133" s="1087"/>
      <c r="U1133" s="1087"/>
    </row>
    <row r="1134" spans="3:21" x14ac:dyDescent="0.25">
      <c r="C1134" s="1136"/>
      <c r="L1134" s="1087"/>
      <c r="U1134" s="1087"/>
    </row>
    <row r="1135" spans="3:21" x14ac:dyDescent="0.25">
      <c r="C1135" s="1136"/>
      <c r="L1135" s="1087"/>
      <c r="U1135" s="1087"/>
    </row>
    <row r="1136" spans="3:21" x14ac:dyDescent="0.25">
      <c r="C1136" s="1136"/>
      <c r="L1136" s="1087"/>
      <c r="U1136" s="1087"/>
    </row>
    <row r="1137" spans="3:21" x14ac:dyDescent="0.25">
      <c r="C1137" s="1136"/>
      <c r="L1137" s="1087"/>
      <c r="U1137" s="1087"/>
    </row>
    <row r="1138" spans="3:21" x14ac:dyDescent="0.25">
      <c r="C1138" s="1136"/>
      <c r="L1138" s="1087"/>
      <c r="U1138" s="1087"/>
    </row>
    <row r="1139" spans="3:21" x14ac:dyDescent="0.25">
      <c r="C1139" s="1136"/>
      <c r="L1139" s="1087"/>
      <c r="U1139" s="1087"/>
    </row>
    <row r="1140" spans="3:21" x14ac:dyDescent="0.25">
      <c r="C1140" s="1136"/>
      <c r="L1140" s="1087"/>
      <c r="U1140" s="1087"/>
    </row>
    <row r="1141" spans="3:21" x14ac:dyDescent="0.25">
      <c r="C1141" s="1136"/>
      <c r="L1141" s="1087"/>
      <c r="U1141" s="1087"/>
    </row>
    <row r="1142" spans="3:21" x14ac:dyDescent="0.25">
      <c r="C1142" s="1136"/>
      <c r="L1142" s="1087"/>
      <c r="U1142" s="1087"/>
    </row>
    <row r="1143" spans="3:21" x14ac:dyDescent="0.25">
      <c r="C1143" s="1136"/>
      <c r="L1143" s="1087"/>
      <c r="U1143" s="1087"/>
    </row>
    <row r="1144" spans="3:21" x14ac:dyDescent="0.25">
      <c r="C1144" s="1136"/>
      <c r="L1144" s="1087"/>
      <c r="U1144" s="1087"/>
    </row>
    <row r="1145" spans="3:21" x14ac:dyDescent="0.25">
      <c r="C1145" s="1136"/>
      <c r="L1145" s="1087"/>
      <c r="U1145" s="1087"/>
    </row>
    <row r="1146" spans="3:21" x14ac:dyDescent="0.25">
      <c r="C1146" s="1136"/>
      <c r="L1146" s="1087"/>
      <c r="U1146" s="1087"/>
    </row>
    <row r="1147" spans="3:21" x14ac:dyDescent="0.25">
      <c r="C1147" s="1136"/>
      <c r="L1147" s="1087"/>
      <c r="U1147" s="1087"/>
    </row>
    <row r="1148" spans="3:21" x14ac:dyDescent="0.25">
      <c r="C1148" s="1136"/>
      <c r="L1148" s="1087"/>
      <c r="U1148" s="1087"/>
    </row>
    <row r="1149" spans="3:21" x14ac:dyDescent="0.25">
      <c r="C1149" s="1136"/>
      <c r="L1149" s="1087"/>
      <c r="U1149" s="1087"/>
    </row>
    <row r="1150" spans="3:21" x14ac:dyDescent="0.25">
      <c r="C1150" s="1136"/>
      <c r="L1150" s="1087"/>
      <c r="U1150" s="1087"/>
    </row>
    <row r="1151" spans="3:21" x14ac:dyDescent="0.25">
      <c r="C1151" s="1136"/>
      <c r="L1151" s="1087"/>
      <c r="U1151" s="1087"/>
    </row>
    <row r="1152" spans="3:21" x14ac:dyDescent="0.25">
      <c r="C1152" s="1136"/>
      <c r="L1152" s="1087"/>
      <c r="U1152" s="1087"/>
    </row>
    <row r="1153" spans="3:21" x14ac:dyDescent="0.25">
      <c r="C1153" s="1136"/>
      <c r="L1153" s="1087"/>
      <c r="U1153" s="1087"/>
    </row>
    <row r="1154" spans="3:21" x14ac:dyDescent="0.25">
      <c r="C1154" s="1136"/>
      <c r="L1154" s="1087"/>
      <c r="U1154" s="1087"/>
    </row>
    <row r="1155" spans="3:21" x14ac:dyDescent="0.25">
      <c r="C1155" s="1136"/>
      <c r="L1155" s="1087"/>
      <c r="U1155" s="1087"/>
    </row>
    <row r="1156" spans="3:21" x14ac:dyDescent="0.25">
      <c r="C1156" s="1136"/>
      <c r="L1156" s="1087"/>
      <c r="U1156" s="1087"/>
    </row>
    <row r="1157" spans="3:21" x14ac:dyDescent="0.25">
      <c r="C1157" s="1136"/>
      <c r="L1157" s="1087"/>
      <c r="U1157" s="1087"/>
    </row>
    <row r="1158" spans="3:21" x14ac:dyDescent="0.25">
      <c r="C1158" s="1136"/>
      <c r="L1158" s="1087"/>
      <c r="U1158" s="1087"/>
    </row>
    <row r="1159" spans="3:21" x14ac:dyDescent="0.25">
      <c r="C1159" s="1136"/>
      <c r="L1159" s="1087"/>
      <c r="U1159" s="1087"/>
    </row>
    <row r="1160" spans="3:21" x14ac:dyDescent="0.25">
      <c r="C1160" s="1136"/>
      <c r="L1160" s="1087"/>
      <c r="U1160" s="1087"/>
    </row>
    <row r="1161" spans="3:21" x14ac:dyDescent="0.25">
      <c r="C1161" s="1136"/>
      <c r="L1161" s="1087"/>
      <c r="U1161" s="1087"/>
    </row>
    <row r="1162" spans="3:21" x14ac:dyDescent="0.25">
      <c r="C1162" s="1136"/>
      <c r="L1162" s="1087"/>
      <c r="U1162" s="1087"/>
    </row>
    <row r="1163" spans="3:21" x14ac:dyDescent="0.25">
      <c r="C1163" s="1136"/>
      <c r="L1163" s="1087"/>
      <c r="U1163" s="1087"/>
    </row>
    <row r="1164" spans="3:21" x14ac:dyDescent="0.25">
      <c r="C1164" s="1136"/>
      <c r="L1164" s="1087"/>
      <c r="U1164" s="1087"/>
    </row>
    <row r="1165" spans="3:21" x14ac:dyDescent="0.25">
      <c r="C1165" s="1136"/>
      <c r="L1165" s="1087"/>
      <c r="U1165" s="1087"/>
    </row>
    <row r="1166" spans="3:21" x14ac:dyDescent="0.25">
      <c r="C1166" s="1136"/>
      <c r="L1166" s="1087"/>
      <c r="U1166" s="1087"/>
    </row>
    <row r="1167" spans="3:21" x14ac:dyDescent="0.25">
      <c r="C1167" s="1136"/>
      <c r="L1167" s="1087"/>
      <c r="U1167" s="1087"/>
    </row>
    <row r="1168" spans="3:21" x14ac:dyDescent="0.25">
      <c r="C1168" s="1136"/>
      <c r="L1168" s="1087"/>
      <c r="U1168" s="1087"/>
    </row>
    <row r="1169" spans="3:21" x14ac:dyDescent="0.25">
      <c r="C1169" s="1136"/>
      <c r="L1169" s="1087"/>
      <c r="U1169" s="1087"/>
    </row>
    <row r="1170" spans="3:21" x14ac:dyDescent="0.25">
      <c r="C1170" s="1136"/>
      <c r="L1170" s="1087"/>
      <c r="U1170" s="1087"/>
    </row>
    <row r="1171" spans="3:21" x14ac:dyDescent="0.25">
      <c r="C1171" s="1136"/>
      <c r="L1171" s="1087"/>
      <c r="U1171" s="1087"/>
    </row>
    <row r="1172" spans="3:21" x14ac:dyDescent="0.25">
      <c r="C1172" s="1136"/>
      <c r="L1172" s="1087"/>
      <c r="U1172" s="1087"/>
    </row>
    <row r="1173" spans="3:21" x14ac:dyDescent="0.25">
      <c r="C1173" s="1136"/>
      <c r="L1173" s="1087"/>
      <c r="U1173" s="1087"/>
    </row>
    <row r="1174" spans="3:21" x14ac:dyDescent="0.25">
      <c r="C1174" s="1136"/>
      <c r="L1174" s="1087"/>
      <c r="U1174" s="1087"/>
    </row>
    <row r="1175" spans="3:21" x14ac:dyDescent="0.25">
      <c r="C1175" s="1136"/>
      <c r="L1175" s="1087"/>
      <c r="U1175" s="1087"/>
    </row>
    <row r="1176" spans="3:21" x14ac:dyDescent="0.25">
      <c r="C1176" s="1136"/>
      <c r="L1176" s="1087"/>
      <c r="U1176" s="1087"/>
    </row>
    <row r="1177" spans="3:21" x14ac:dyDescent="0.25">
      <c r="C1177" s="1136"/>
      <c r="L1177" s="1087"/>
      <c r="U1177" s="1087"/>
    </row>
    <row r="1178" spans="3:21" x14ac:dyDescent="0.25">
      <c r="C1178" s="1136"/>
      <c r="L1178" s="1087"/>
      <c r="U1178" s="1087"/>
    </row>
    <row r="1179" spans="3:21" x14ac:dyDescent="0.25">
      <c r="C1179" s="1136"/>
      <c r="L1179" s="1087"/>
      <c r="U1179" s="1087"/>
    </row>
    <row r="1180" spans="3:21" x14ac:dyDescent="0.25">
      <c r="C1180" s="1136"/>
      <c r="L1180" s="1087"/>
      <c r="U1180" s="1087"/>
    </row>
    <row r="1181" spans="3:21" x14ac:dyDescent="0.25">
      <c r="C1181" s="1136"/>
      <c r="L1181" s="1087"/>
      <c r="U1181" s="1087"/>
    </row>
    <row r="1182" spans="3:21" x14ac:dyDescent="0.25">
      <c r="C1182" s="1136"/>
      <c r="L1182" s="1087"/>
      <c r="U1182" s="1087"/>
    </row>
    <row r="1183" spans="3:21" x14ac:dyDescent="0.25">
      <c r="C1183" s="1136"/>
      <c r="L1183" s="1087"/>
      <c r="U1183" s="1087"/>
    </row>
    <row r="1184" spans="3:21" x14ac:dyDescent="0.25">
      <c r="C1184" s="1136"/>
      <c r="L1184" s="1087"/>
      <c r="U1184" s="1087"/>
    </row>
    <row r="1185" spans="3:21" x14ac:dyDescent="0.25">
      <c r="C1185" s="1136"/>
      <c r="L1185" s="1087"/>
      <c r="U1185" s="1087"/>
    </row>
    <row r="1186" spans="3:21" x14ac:dyDescent="0.25">
      <c r="C1186" s="1136"/>
      <c r="L1186" s="1087"/>
      <c r="U1186" s="1087"/>
    </row>
    <row r="1187" spans="3:21" x14ac:dyDescent="0.25">
      <c r="C1187" s="1136"/>
      <c r="L1187" s="1087"/>
      <c r="U1187" s="1087"/>
    </row>
    <row r="1188" spans="3:21" x14ac:dyDescent="0.25">
      <c r="C1188" s="1136"/>
      <c r="L1188" s="1087"/>
      <c r="U1188" s="1087"/>
    </row>
    <row r="1189" spans="3:21" x14ac:dyDescent="0.25">
      <c r="C1189" s="1136"/>
      <c r="L1189" s="1087"/>
      <c r="U1189" s="1087"/>
    </row>
    <row r="1190" spans="3:21" x14ac:dyDescent="0.25">
      <c r="C1190" s="1136"/>
      <c r="L1190" s="1087"/>
      <c r="U1190" s="1087"/>
    </row>
    <row r="1191" spans="3:21" x14ac:dyDescent="0.25">
      <c r="C1191" s="1136"/>
      <c r="L1191" s="1087"/>
      <c r="U1191" s="1087"/>
    </row>
    <row r="1192" spans="3:21" x14ac:dyDescent="0.25">
      <c r="C1192" s="1136"/>
      <c r="L1192" s="1087"/>
      <c r="U1192" s="1087"/>
    </row>
    <row r="1193" spans="3:21" x14ac:dyDescent="0.25">
      <c r="C1193" s="1136"/>
      <c r="L1193" s="1087"/>
      <c r="U1193" s="1087"/>
    </row>
    <row r="1194" spans="3:21" x14ac:dyDescent="0.25">
      <c r="C1194" s="1136"/>
      <c r="L1194" s="1087"/>
      <c r="U1194" s="1087"/>
    </row>
    <row r="1195" spans="3:21" x14ac:dyDescent="0.25">
      <c r="C1195" s="1136"/>
      <c r="L1195" s="1087"/>
      <c r="U1195" s="1087"/>
    </row>
    <row r="1196" spans="3:21" x14ac:dyDescent="0.25">
      <c r="C1196" s="1136"/>
      <c r="L1196" s="1087"/>
      <c r="U1196" s="1087"/>
    </row>
    <row r="1197" spans="3:21" x14ac:dyDescent="0.25">
      <c r="C1197" s="1136"/>
      <c r="L1197" s="1087"/>
      <c r="U1197" s="1087"/>
    </row>
    <row r="1198" spans="3:21" x14ac:dyDescent="0.25">
      <c r="C1198" s="1136"/>
      <c r="L1198" s="1087"/>
      <c r="U1198" s="1087"/>
    </row>
    <row r="1199" spans="3:21" x14ac:dyDescent="0.25">
      <c r="C1199" s="1136"/>
      <c r="L1199" s="1087"/>
      <c r="U1199" s="1087"/>
    </row>
    <row r="1200" spans="3:21" x14ac:dyDescent="0.25">
      <c r="C1200" s="1136"/>
      <c r="L1200" s="1087"/>
      <c r="U1200" s="1087"/>
    </row>
    <row r="1201" spans="3:21" x14ac:dyDescent="0.25">
      <c r="C1201" s="1136"/>
      <c r="L1201" s="1087"/>
      <c r="U1201" s="1087"/>
    </row>
    <row r="1202" spans="3:21" x14ac:dyDescent="0.25">
      <c r="C1202" s="1136"/>
      <c r="L1202" s="1087"/>
      <c r="U1202" s="1087"/>
    </row>
    <row r="1203" spans="3:21" x14ac:dyDescent="0.25">
      <c r="C1203" s="1136"/>
      <c r="L1203" s="1087"/>
      <c r="U1203" s="1087"/>
    </row>
    <row r="1204" spans="3:21" x14ac:dyDescent="0.25">
      <c r="C1204" s="1136"/>
      <c r="L1204" s="1087"/>
      <c r="U1204" s="1087"/>
    </row>
    <row r="1205" spans="3:21" x14ac:dyDescent="0.25">
      <c r="C1205" s="1136"/>
      <c r="L1205" s="1087"/>
      <c r="U1205" s="1087"/>
    </row>
    <row r="1206" spans="3:21" x14ac:dyDescent="0.25">
      <c r="C1206" s="1136"/>
      <c r="L1206" s="1087"/>
      <c r="U1206" s="1087"/>
    </row>
    <row r="1207" spans="3:21" x14ac:dyDescent="0.25">
      <c r="C1207" s="1136"/>
      <c r="L1207" s="1087"/>
      <c r="U1207" s="1087"/>
    </row>
    <row r="1208" spans="3:21" x14ac:dyDescent="0.25">
      <c r="C1208" s="1136"/>
      <c r="L1208" s="1087"/>
      <c r="U1208" s="1087"/>
    </row>
    <row r="1209" spans="3:21" x14ac:dyDescent="0.25">
      <c r="C1209" s="1136"/>
      <c r="L1209" s="1087"/>
      <c r="U1209" s="1087"/>
    </row>
    <row r="1210" spans="3:21" x14ac:dyDescent="0.25">
      <c r="C1210" s="1136"/>
      <c r="L1210" s="1087"/>
      <c r="U1210" s="1087"/>
    </row>
    <row r="1211" spans="3:21" x14ac:dyDescent="0.25">
      <c r="C1211" s="1136"/>
      <c r="L1211" s="1087"/>
      <c r="U1211" s="1087"/>
    </row>
    <row r="1212" spans="3:21" x14ac:dyDescent="0.25">
      <c r="C1212" s="1136"/>
      <c r="L1212" s="1087"/>
      <c r="U1212" s="1087"/>
    </row>
    <row r="1213" spans="3:21" x14ac:dyDescent="0.25">
      <c r="C1213" s="1136"/>
      <c r="L1213" s="1087"/>
      <c r="U1213" s="1087"/>
    </row>
    <row r="1214" spans="3:21" x14ac:dyDescent="0.25">
      <c r="C1214" s="1136"/>
      <c r="L1214" s="1087"/>
      <c r="U1214" s="1087"/>
    </row>
    <row r="1215" spans="3:21" x14ac:dyDescent="0.25">
      <c r="C1215" s="1136"/>
      <c r="L1215" s="1087"/>
      <c r="U1215" s="1087"/>
    </row>
    <row r="1216" spans="3:21" x14ac:dyDescent="0.25">
      <c r="C1216" s="1136"/>
      <c r="L1216" s="1087"/>
      <c r="U1216" s="1087"/>
    </row>
    <row r="1217" spans="3:21" x14ac:dyDescent="0.25">
      <c r="C1217" s="1136"/>
      <c r="L1217" s="1087"/>
      <c r="U1217" s="1087"/>
    </row>
    <row r="1218" spans="3:21" x14ac:dyDescent="0.25">
      <c r="C1218" s="1136"/>
      <c r="L1218" s="1087"/>
      <c r="U1218" s="1087"/>
    </row>
    <row r="1219" spans="3:21" x14ac:dyDescent="0.25">
      <c r="C1219" s="1136"/>
      <c r="L1219" s="1087"/>
      <c r="U1219" s="1087"/>
    </row>
    <row r="1220" spans="3:21" x14ac:dyDescent="0.25">
      <c r="C1220" s="1136"/>
      <c r="L1220" s="1087"/>
      <c r="U1220" s="1087"/>
    </row>
    <row r="1221" spans="3:21" x14ac:dyDescent="0.25">
      <c r="C1221" s="1136"/>
      <c r="L1221" s="1087"/>
      <c r="U1221" s="1087"/>
    </row>
    <row r="1222" spans="3:21" x14ac:dyDescent="0.25">
      <c r="C1222" s="1136"/>
      <c r="L1222" s="1087"/>
      <c r="U1222" s="1087"/>
    </row>
    <row r="1223" spans="3:21" x14ac:dyDescent="0.25">
      <c r="C1223" s="1136"/>
      <c r="L1223" s="1087"/>
      <c r="U1223" s="1087"/>
    </row>
    <row r="1224" spans="3:21" x14ac:dyDescent="0.25">
      <c r="C1224" s="1136"/>
      <c r="L1224" s="1087"/>
      <c r="U1224" s="1087"/>
    </row>
    <row r="1225" spans="3:21" x14ac:dyDescent="0.25">
      <c r="C1225" s="1136"/>
      <c r="L1225" s="1087"/>
      <c r="U1225" s="1087"/>
    </row>
    <row r="1226" spans="3:21" x14ac:dyDescent="0.25">
      <c r="C1226" s="1136"/>
      <c r="L1226" s="1087"/>
      <c r="U1226" s="1087"/>
    </row>
    <row r="1227" spans="3:21" x14ac:dyDescent="0.25">
      <c r="C1227" s="1136"/>
      <c r="L1227" s="1087"/>
      <c r="U1227" s="1087"/>
    </row>
    <row r="1228" spans="3:21" x14ac:dyDescent="0.25">
      <c r="C1228" s="1136"/>
      <c r="L1228" s="1087"/>
      <c r="U1228" s="1087"/>
    </row>
    <row r="1229" spans="3:21" x14ac:dyDescent="0.25">
      <c r="C1229" s="1136"/>
      <c r="L1229" s="1087"/>
      <c r="U1229" s="1087"/>
    </row>
    <row r="1230" spans="3:21" x14ac:dyDescent="0.25">
      <c r="C1230" s="1136"/>
      <c r="L1230" s="1087"/>
      <c r="U1230" s="1087"/>
    </row>
    <row r="1231" spans="3:21" x14ac:dyDescent="0.25">
      <c r="C1231" s="1136"/>
      <c r="L1231" s="1087"/>
      <c r="U1231" s="1087"/>
    </row>
    <row r="1232" spans="3:21" x14ac:dyDescent="0.25">
      <c r="C1232" s="1136"/>
      <c r="L1232" s="1087"/>
      <c r="U1232" s="1087"/>
    </row>
    <row r="1233" spans="3:21" x14ac:dyDescent="0.25">
      <c r="C1233" s="1136"/>
      <c r="L1233" s="1087"/>
      <c r="U1233" s="1087"/>
    </row>
    <row r="1234" spans="3:21" x14ac:dyDescent="0.25">
      <c r="C1234" s="1136"/>
      <c r="L1234" s="1087"/>
      <c r="U1234" s="1087"/>
    </row>
    <row r="1235" spans="3:21" x14ac:dyDescent="0.25">
      <c r="C1235" s="1136"/>
      <c r="L1235" s="1087"/>
      <c r="U1235" s="1087"/>
    </row>
    <row r="1236" spans="3:21" x14ac:dyDescent="0.25">
      <c r="C1236" s="1136"/>
      <c r="L1236" s="1087"/>
      <c r="U1236" s="1087"/>
    </row>
    <row r="1237" spans="3:21" x14ac:dyDescent="0.25">
      <c r="C1237" s="1136"/>
      <c r="L1237" s="1087"/>
      <c r="U1237" s="1087"/>
    </row>
    <row r="1238" spans="3:21" x14ac:dyDescent="0.25">
      <c r="C1238" s="1136"/>
      <c r="L1238" s="1087"/>
      <c r="U1238" s="1087"/>
    </row>
    <row r="1239" spans="3:21" x14ac:dyDescent="0.25">
      <c r="C1239" s="1136"/>
      <c r="L1239" s="1087"/>
      <c r="U1239" s="1087"/>
    </row>
    <row r="1240" spans="3:21" x14ac:dyDescent="0.25">
      <c r="C1240" s="1136"/>
      <c r="L1240" s="1087"/>
      <c r="U1240" s="1087"/>
    </row>
    <row r="1241" spans="3:21" x14ac:dyDescent="0.25">
      <c r="C1241" s="1136"/>
      <c r="L1241" s="1087"/>
      <c r="U1241" s="1087"/>
    </row>
    <row r="1242" spans="3:21" x14ac:dyDescent="0.25">
      <c r="C1242" s="1136"/>
      <c r="L1242" s="1087"/>
      <c r="U1242" s="1087"/>
    </row>
    <row r="1243" spans="3:21" x14ac:dyDescent="0.25">
      <c r="C1243" s="1136"/>
      <c r="L1243" s="1087"/>
      <c r="U1243" s="1087"/>
    </row>
    <row r="1244" spans="3:21" x14ac:dyDescent="0.25">
      <c r="C1244" s="1136"/>
      <c r="L1244" s="1087"/>
      <c r="U1244" s="1087"/>
    </row>
    <row r="1245" spans="3:21" x14ac:dyDescent="0.25">
      <c r="C1245" s="1136"/>
      <c r="L1245" s="1087"/>
      <c r="U1245" s="1087"/>
    </row>
    <row r="1246" spans="3:21" x14ac:dyDescent="0.25">
      <c r="C1246" s="1136"/>
      <c r="L1246" s="1087"/>
      <c r="U1246" s="1087"/>
    </row>
    <row r="1247" spans="3:21" x14ac:dyDescent="0.25">
      <c r="C1247" s="1136"/>
      <c r="L1247" s="1087"/>
      <c r="U1247" s="1087"/>
    </row>
    <row r="1248" spans="3:21" x14ac:dyDescent="0.25">
      <c r="C1248" s="1136"/>
      <c r="L1248" s="1087"/>
      <c r="U1248" s="1087"/>
    </row>
    <row r="1249" spans="3:21" x14ac:dyDescent="0.25">
      <c r="C1249" s="1136"/>
      <c r="L1249" s="1087"/>
      <c r="U1249" s="1087"/>
    </row>
    <row r="1250" spans="3:21" x14ac:dyDescent="0.25">
      <c r="C1250" s="1136"/>
      <c r="L1250" s="1087"/>
      <c r="U1250" s="1087"/>
    </row>
    <row r="1251" spans="3:21" x14ac:dyDescent="0.25">
      <c r="C1251" s="1136"/>
      <c r="L1251" s="1087"/>
      <c r="U1251" s="1087"/>
    </row>
    <row r="1252" spans="3:21" x14ac:dyDescent="0.25">
      <c r="C1252" s="1136"/>
      <c r="L1252" s="1087"/>
      <c r="U1252" s="1087"/>
    </row>
    <row r="1253" spans="3:21" x14ac:dyDescent="0.25">
      <c r="C1253" s="1136"/>
      <c r="L1253" s="1087"/>
      <c r="U1253" s="1087"/>
    </row>
    <row r="1254" spans="3:21" x14ac:dyDescent="0.25">
      <c r="C1254" s="1136"/>
      <c r="L1254" s="1087"/>
      <c r="U1254" s="1087"/>
    </row>
    <row r="1255" spans="3:21" x14ac:dyDescent="0.25">
      <c r="C1255" s="1136"/>
      <c r="L1255" s="1087"/>
      <c r="U1255" s="1087"/>
    </row>
    <row r="1256" spans="3:21" x14ac:dyDescent="0.25">
      <c r="C1256" s="1136"/>
      <c r="L1256" s="1087"/>
      <c r="U1256" s="1087"/>
    </row>
    <row r="1257" spans="3:21" x14ac:dyDescent="0.25">
      <c r="C1257" s="1136"/>
      <c r="L1257" s="1087"/>
      <c r="U1257" s="1087"/>
    </row>
    <row r="1258" spans="3:21" x14ac:dyDescent="0.25">
      <c r="C1258" s="1136"/>
      <c r="L1258" s="1087"/>
      <c r="U1258" s="1087"/>
    </row>
    <row r="1259" spans="3:21" x14ac:dyDescent="0.25">
      <c r="C1259" s="1136"/>
      <c r="L1259" s="1087"/>
      <c r="U1259" s="1087"/>
    </row>
    <row r="1260" spans="3:21" x14ac:dyDescent="0.25">
      <c r="C1260" s="1136"/>
      <c r="L1260" s="1087"/>
      <c r="U1260" s="1087"/>
    </row>
    <row r="1261" spans="3:21" x14ac:dyDescent="0.25">
      <c r="C1261" s="1136"/>
      <c r="L1261" s="1087"/>
      <c r="U1261" s="1087"/>
    </row>
    <row r="1262" spans="3:21" x14ac:dyDescent="0.25">
      <c r="C1262" s="1136"/>
      <c r="L1262" s="1087"/>
      <c r="U1262" s="1087"/>
    </row>
    <row r="1263" spans="3:21" x14ac:dyDescent="0.25">
      <c r="C1263" s="1136"/>
      <c r="L1263" s="1087"/>
      <c r="U1263" s="1087"/>
    </row>
    <row r="1264" spans="3:21" x14ac:dyDescent="0.25">
      <c r="C1264" s="1136"/>
      <c r="L1264" s="1087"/>
      <c r="U1264" s="1087"/>
    </row>
    <row r="1265" spans="3:21" x14ac:dyDescent="0.25">
      <c r="C1265" s="1136"/>
      <c r="L1265" s="1087"/>
      <c r="U1265" s="1087"/>
    </row>
    <row r="1266" spans="3:21" x14ac:dyDescent="0.25">
      <c r="C1266" s="1136"/>
      <c r="L1266" s="1087"/>
      <c r="U1266" s="1087"/>
    </row>
    <row r="1267" spans="3:21" x14ac:dyDescent="0.25">
      <c r="C1267" s="1136"/>
      <c r="L1267" s="1087"/>
      <c r="U1267" s="1087"/>
    </row>
    <row r="1268" spans="3:21" x14ac:dyDescent="0.25">
      <c r="C1268" s="1136"/>
      <c r="L1268" s="1087"/>
      <c r="U1268" s="1087"/>
    </row>
    <row r="1269" spans="3:21" x14ac:dyDescent="0.25">
      <c r="C1269" s="1136"/>
      <c r="L1269" s="1087"/>
      <c r="U1269" s="1087"/>
    </row>
    <row r="1270" spans="3:21" x14ac:dyDescent="0.25">
      <c r="C1270" s="1136"/>
      <c r="L1270" s="1087"/>
      <c r="U1270" s="1087"/>
    </row>
    <row r="1271" spans="3:21" x14ac:dyDescent="0.25">
      <c r="C1271" s="1136"/>
      <c r="L1271" s="1087"/>
      <c r="U1271" s="1087"/>
    </row>
    <row r="1272" spans="3:21" x14ac:dyDescent="0.25">
      <c r="C1272" s="1136"/>
      <c r="L1272" s="1087"/>
      <c r="U1272" s="1087"/>
    </row>
    <row r="1273" spans="3:21" x14ac:dyDescent="0.25">
      <c r="C1273" s="1136"/>
      <c r="L1273" s="1087"/>
      <c r="U1273" s="1087"/>
    </row>
    <row r="1274" spans="3:21" x14ac:dyDescent="0.25">
      <c r="C1274" s="1136"/>
      <c r="L1274" s="1087"/>
      <c r="U1274" s="1087"/>
    </row>
    <row r="1275" spans="3:21" x14ac:dyDescent="0.25">
      <c r="C1275" s="1136"/>
      <c r="L1275" s="1087"/>
      <c r="U1275" s="1087"/>
    </row>
    <row r="1276" spans="3:21" x14ac:dyDescent="0.25">
      <c r="C1276" s="1136"/>
      <c r="L1276" s="1087"/>
      <c r="U1276" s="1087"/>
    </row>
    <row r="1277" spans="3:21" x14ac:dyDescent="0.25">
      <c r="C1277" s="1136"/>
      <c r="L1277" s="1087"/>
      <c r="U1277" s="1087"/>
    </row>
    <row r="1278" spans="3:21" x14ac:dyDescent="0.25">
      <c r="C1278" s="1136"/>
      <c r="L1278" s="1087"/>
      <c r="U1278" s="1087"/>
    </row>
    <row r="1279" spans="3:21" x14ac:dyDescent="0.25">
      <c r="C1279" s="1136"/>
      <c r="L1279" s="1087"/>
      <c r="U1279" s="1087"/>
    </row>
    <row r="1280" spans="3:21" x14ac:dyDescent="0.25">
      <c r="C1280" s="1136"/>
      <c r="L1280" s="1087"/>
      <c r="U1280" s="1087"/>
    </row>
    <row r="1281" spans="3:21" x14ac:dyDescent="0.25">
      <c r="C1281" s="1136"/>
      <c r="L1281" s="1087"/>
      <c r="U1281" s="1087"/>
    </row>
    <row r="1282" spans="3:21" x14ac:dyDescent="0.25">
      <c r="C1282" s="1136"/>
      <c r="L1282" s="1087"/>
      <c r="U1282" s="1087"/>
    </row>
    <row r="1283" spans="3:21" x14ac:dyDescent="0.25">
      <c r="C1283" s="1136"/>
      <c r="L1283" s="1087"/>
      <c r="U1283" s="1087"/>
    </row>
    <row r="1284" spans="3:21" x14ac:dyDescent="0.25">
      <c r="C1284" s="1136"/>
      <c r="L1284" s="1087"/>
      <c r="U1284" s="1087"/>
    </row>
    <row r="1285" spans="3:21" x14ac:dyDescent="0.25">
      <c r="C1285" s="1136"/>
      <c r="L1285" s="1087"/>
      <c r="U1285" s="1087"/>
    </row>
    <row r="1286" spans="3:21" x14ac:dyDescent="0.25">
      <c r="C1286" s="1136"/>
      <c r="L1286" s="1087"/>
      <c r="U1286" s="1087"/>
    </row>
    <row r="1287" spans="3:21" x14ac:dyDescent="0.25">
      <c r="C1287" s="1136"/>
      <c r="L1287" s="1087"/>
      <c r="U1287" s="1087"/>
    </row>
    <row r="1288" spans="3:21" x14ac:dyDescent="0.25">
      <c r="C1288" s="1136"/>
      <c r="L1288" s="1087"/>
      <c r="U1288" s="1087"/>
    </row>
    <row r="1289" spans="3:21" x14ac:dyDescent="0.25">
      <c r="C1289" s="1136"/>
      <c r="L1289" s="1087"/>
      <c r="U1289" s="1087"/>
    </row>
    <row r="1290" spans="3:21" x14ac:dyDescent="0.25">
      <c r="C1290" s="1136"/>
      <c r="L1290" s="1087"/>
      <c r="U1290" s="1087"/>
    </row>
    <row r="1291" spans="3:21" x14ac:dyDescent="0.25">
      <c r="C1291" s="1136"/>
      <c r="L1291" s="1087"/>
      <c r="U1291" s="1087"/>
    </row>
    <row r="1292" spans="3:21" x14ac:dyDescent="0.25">
      <c r="C1292" s="1136"/>
      <c r="L1292" s="1087"/>
      <c r="U1292" s="1087"/>
    </row>
    <row r="1293" spans="3:21" x14ac:dyDescent="0.25">
      <c r="C1293" s="1136"/>
      <c r="L1293" s="1087"/>
      <c r="U1293" s="1087"/>
    </row>
    <row r="1294" spans="3:21" x14ac:dyDescent="0.25">
      <c r="C1294" s="1136"/>
      <c r="L1294" s="1087"/>
      <c r="U1294" s="1087"/>
    </row>
    <row r="1295" spans="3:21" x14ac:dyDescent="0.25">
      <c r="C1295" s="1136"/>
      <c r="L1295" s="1087"/>
      <c r="U1295" s="1087"/>
    </row>
    <row r="1296" spans="3:21" x14ac:dyDescent="0.25">
      <c r="C1296" s="1136"/>
      <c r="L1296" s="1087"/>
      <c r="U1296" s="1087"/>
    </row>
    <row r="1297" spans="3:21" x14ac:dyDescent="0.25">
      <c r="C1297" s="1136"/>
      <c r="L1297" s="1087"/>
      <c r="U1297" s="1087"/>
    </row>
    <row r="1298" spans="3:21" x14ac:dyDescent="0.25">
      <c r="C1298" s="1136"/>
      <c r="L1298" s="1087"/>
      <c r="U1298" s="1087"/>
    </row>
    <row r="1299" spans="3:21" x14ac:dyDescent="0.25">
      <c r="C1299" s="1136"/>
      <c r="L1299" s="1087"/>
      <c r="U1299" s="1087"/>
    </row>
    <row r="1300" spans="3:21" x14ac:dyDescent="0.25">
      <c r="C1300" s="1136"/>
      <c r="L1300" s="1087"/>
      <c r="U1300" s="1087"/>
    </row>
    <row r="1301" spans="3:21" x14ac:dyDescent="0.25">
      <c r="C1301" s="1136"/>
      <c r="L1301" s="1087"/>
      <c r="U1301" s="1087"/>
    </row>
    <row r="1302" spans="3:21" x14ac:dyDescent="0.25">
      <c r="C1302" s="1136"/>
      <c r="L1302" s="1087"/>
      <c r="U1302" s="1087"/>
    </row>
    <row r="1303" spans="3:21" x14ac:dyDescent="0.25">
      <c r="C1303" s="1136"/>
      <c r="L1303" s="1087"/>
      <c r="U1303" s="1087"/>
    </row>
    <row r="1304" spans="3:21" x14ac:dyDescent="0.25">
      <c r="C1304" s="1136"/>
      <c r="L1304" s="1087"/>
      <c r="U1304" s="1087"/>
    </row>
    <row r="1305" spans="3:21" x14ac:dyDescent="0.25">
      <c r="C1305" s="1136"/>
      <c r="L1305" s="1087"/>
      <c r="U1305" s="1087"/>
    </row>
    <row r="1306" spans="3:21" x14ac:dyDescent="0.25">
      <c r="C1306" s="1136"/>
      <c r="L1306" s="1087"/>
      <c r="U1306" s="1087"/>
    </row>
    <row r="1307" spans="3:21" x14ac:dyDescent="0.25">
      <c r="C1307" s="1136"/>
      <c r="L1307" s="1087"/>
      <c r="U1307" s="1087"/>
    </row>
    <row r="1308" spans="3:21" x14ac:dyDescent="0.25">
      <c r="C1308" s="1136"/>
      <c r="L1308" s="1087"/>
      <c r="U1308" s="1087"/>
    </row>
    <row r="1309" spans="3:21" x14ac:dyDescent="0.25">
      <c r="C1309" s="1136"/>
      <c r="L1309" s="1087"/>
      <c r="U1309" s="1087"/>
    </row>
    <row r="1310" spans="3:21" x14ac:dyDescent="0.25">
      <c r="C1310" s="1136"/>
      <c r="L1310" s="1087"/>
      <c r="U1310" s="1087"/>
    </row>
    <row r="1311" spans="3:21" x14ac:dyDescent="0.25">
      <c r="C1311" s="1136"/>
      <c r="L1311" s="1087"/>
      <c r="U1311" s="1087"/>
    </row>
    <row r="1312" spans="3:21" x14ac:dyDescent="0.25">
      <c r="C1312" s="1136"/>
      <c r="L1312" s="1087"/>
      <c r="U1312" s="1087"/>
    </row>
    <row r="1313" spans="3:21" x14ac:dyDescent="0.25">
      <c r="C1313" s="1136"/>
      <c r="L1313" s="1087"/>
      <c r="U1313" s="1087"/>
    </row>
    <row r="1314" spans="3:21" x14ac:dyDescent="0.25">
      <c r="C1314" s="1136"/>
      <c r="L1314" s="1087"/>
      <c r="U1314" s="1087"/>
    </row>
    <row r="1315" spans="3:21" x14ac:dyDescent="0.25">
      <c r="C1315" s="1136"/>
      <c r="L1315" s="1087"/>
      <c r="U1315" s="1087"/>
    </row>
    <row r="1316" spans="3:21" x14ac:dyDescent="0.25">
      <c r="C1316" s="1136"/>
      <c r="L1316" s="1087"/>
      <c r="U1316" s="1087"/>
    </row>
    <row r="1317" spans="3:21" x14ac:dyDescent="0.25">
      <c r="C1317" s="1136"/>
      <c r="L1317" s="1087"/>
      <c r="U1317" s="1087"/>
    </row>
    <row r="1318" spans="3:21" x14ac:dyDescent="0.25">
      <c r="C1318" s="1136"/>
      <c r="L1318" s="1087"/>
      <c r="U1318" s="1087"/>
    </row>
    <row r="1319" spans="3:21" x14ac:dyDescent="0.25">
      <c r="C1319" s="1136"/>
      <c r="L1319" s="1087"/>
      <c r="U1319" s="1087"/>
    </row>
    <row r="1320" spans="3:21" x14ac:dyDescent="0.25">
      <c r="C1320" s="1136"/>
      <c r="L1320" s="1087"/>
      <c r="U1320" s="1087"/>
    </row>
    <row r="1321" spans="3:21" x14ac:dyDescent="0.25">
      <c r="C1321" s="1136"/>
      <c r="L1321" s="1087"/>
      <c r="U1321" s="1087"/>
    </row>
    <row r="1322" spans="3:21" x14ac:dyDescent="0.25">
      <c r="C1322" s="1136"/>
      <c r="L1322" s="1087"/>
      <c r="U1322" s="1087"/>
    </row>
    <row r="1323" spans="3:21" x14ac:dyDescent="0.25">
      <c r="C1323" s="1136"/>
      <c r="L1323" s="1087"/>
      <c r="U1323" s="1087"/>
    </row>
    <row r="1324" spans="3:21" x14ac:dyDescent="0.25">
      <c r="C1324" s="1136"/>
      <c r="L1324" s="1087"/>
      <c r="U1324" s="1087"/>
    </row>
    <row r="1325" spans="3:21" x14ac:dyDescent="0.25">
      <c r="C1325" s="1136"/>
      <c r="L1325" s="1087"/>
      <c r="U1325" s="1087"/>
    </row>
    <row r="1326" spans="3:21" x14ac:dyDescent="0.25">
      <c r="C1326" s="1136"/>
      <c r="L1326" s="1087"/>
      <c r="U1326" s="1087"/>
    </row>
    <row r="1327" spans="3:21" x14ac:dyDescent="0.25">
      <c r="C1327" s="1136"/>
      <c r="L1327" s="1087"/>
      <c r="U1327" s="1087"/>
    </row>
    <row r="1328" spans="3:21" x14ac:dyDescent="0.25">
      <c r="C1328" s="1136"/>
      <c r="L1328" s="1087"/>
      <c r="U1328" s="1087"/>
    </row>
    <row r="1329" spans="3:21" x14ac:dyDescent="0.25">
      <c r="C1329" s="1136"/>
      <c r="L1329" s="1087"/>
      <c r="U1329" s="1087"/>
    </row>
    <row r="1330" spans="3:21" x14ac:dyDescent="0.25">
      <c r="C1330" s="1136"/>
      <c r="L1330" s="1087"/>
      <c r="U1330" s="1087"/>
    </row>
    <row r="1331" spans="3:21" x14ac:dyDescent="0.25">
      <c r="C1331" s="1136"/>
      <c r="L1331" s="1087"/>
      <c r="U1331" s="1087"/>
    </row>
    <row r="1332" spans="3:21" x14ac:dyDescent="0.25">
      <c r="C1332" s="1136"/>
      <c r="L1332" s="1087"/>
      <c r="U1332" s="1087"/>
    </row>
    <row r="1333" spans="3:21" x14ac:dyDescent="0.25">
      <c r="C1333" s="1136"/>
      <c r="L1333" s="1087"/>
      <c r="U1333" s="1087"/>
    </row>
    <row r="1334" spans="3:21" x14ac:dyDescent="0.25">
      <c r="C1334" s="1136"/>
      <c r="L1334" s="1087"/>
      <c r="U1334" s="1087"/>
    </row>
    <row r="1335" spans="3:21" x14ac:dyDescent="0.25">
      <c r="C1335" s="1136"/>
      <c r="L1335" s="1087"/>
      <c r="U1335" s="1087"/>
    </row>
    <row r="1336" spans="3:21" x14ac:dyDescent="0.25">
      <c r="C1336" s="1136"/>
      <c r="L1336" s="1087"/>
      <c r="U1336" s="1087"/>
    </row>
    <row r="1337" spans="3:21" x14ac:dyDescent="0.25">
      <c r="C1337" s="1136"/>
      <c r="L1337" s="1087"/>
      <c r="U1337" s="1087"/>
    </row>
    <row r="1338" spans="3:21" x14ac:dyDescent="0.25">
      <c r="C1338" s="1136"/>
      <c r="L1338" s="1087"/>
      <c r="U1338" s="1087"/>
    </row>
    <row r="1339" spans="3:21" x14ac:dyDescent="0.25">
      <c r="C1339" s="1136"/>
      <c r="L1339" s="1087"/>
      <c r="U1339" s="1087"/>
    </row>
    <row r="1340" spans="3:21" x14ac:dyDescent="0.25">
      <c r="C1340" s="1136"/>
      <c r="L1340" s="1087"/>
      <c r="U1340" s="1087"/>
    </row>
    <row r="1341" spans="3:21" x14ac:dyDescent="0.25">
      <c r="C1341" s="1136"/>
      <c r="L1341" s="1087"/>
      <c r="U1341" s="1087"/>
    </row>
    <row r="1342" spans="3:21" x14ac:dyDescent="0.25">
      <c r="C1342" s="1136"/>
      <c r="L1342" s="1087"/>
      <c r="U1342" s="1087"/>
    </row>
    <row r="1343" spans="3:21" x14ac:dyDescent="0.25">
      <c r="C1343" s="1136"/>
      <c r="L1343" s="1087"/>
      <c r="U1343" s="1087"/>
    </row>
    <row r="1344" spans="3:21" x14ac:dyDescent="0.25">
      <c r="C1344" s="1136"/>
      <c r="L1344" s="1087"/>
      <c r="U1344" s="1087"/>
    </row>
    <row r="1345" spans="3:21" x14ac:dyDescent="0.25">
      <c r="C1345" s="1136"/>
      <c r="L1345" s="1087"/>
      <c r="U1345" s="1087"/>
    </row>
    <row r="1346" spans="3:21" x14ac:dyDescent="0.25">
      <c r="C1346" s="1136"/>
      <c r="L1346" s="1087"/>
      <c r="U1346" s="1087"/>
    </row>
    <row r="1347" spans="3:21" x14ac:dyDescent="0.25">
      <c r="C1347" s="1136"/>
      <c r="L1347" s="1087"/>
      <c r="U1347" s="1087"/>
    </row>
    <row r="1348" spans="3:21" x14ac:dyDescent="0.25">
      <c r="C1348" s="1136"/>
      <c r="L1348" s="1087"/>
      <c r="U1348" s="1087"/>
    </row>
    <row r="1349" spans="3:21" x14ac:dyDescent="0.25">
      <c r="C1349" s="1136"/>
      <c r="L1349" s="1087"/>
      <c r="U1349" s="1087"/>
    </row>
    <row r="1350" spans="3:21" x14ac:dyDescent="0.25">
      <c r="C1350" s="1136"/>
      <c r="L1350" s="1087"/>
      <c r="U1350" s="1087"/>
    </row>
    <row r="1351" spans="3:21" x14ac:dyDescent="0.25">
      <c r="C1351" s="1136"/>
      <c r="L1351" s="1087"/>
      <c r="U1351" s="1087"/>
    </row>
    <row r="1352" spans="3:21" x14ac:dyDescent="0.25">
      <c r="C1352" s="1136"/>
      <c r="L1352" s="1087"/>
      <c r="U1352" s="1087"/>
    </row>
    <row r="1353" spans="3:21" x14ac:dyDescent="0.25">
      <c r="C1353" s="1136"/>
      <c r="L1353" s="1087"/>
      <c r="U1353" s="1087"/>
    </row>
    <row r="1354" spans="3:21" x14ac:dyDescent="0.25">
      <c r="C1354" s="1136"/>
      <c r="L1354" s="1087"/>
      <c r="U1354" s="1087"/>
    </row>
    <row r="1355" spans="3:21" x14ac:dyDescent="0.25">
      <c r="C1355" s="1136"/>
      <c r="L1355" s="1087"/>
      <c r="U1355" s="1087"/>
    </row>
    <row r="1356" spans="3:21" x14ac:dyDescent="0.25">
      <c r="C1356" s="1136"/>
      <c r="L1356" s="1087"/>
      <c r="U1356" s="1087"/>
    </row>
    <row r="1357" spans="3:21" x14ac:dyDescent="0.25">
      <c r="C1357" s="1136"/>
      <c r="L1357" s="1087"/>
      <c r="U1357" s="1087"/>
    </row>
    <row r="1358" spans="3:21" x14ac:dyDescent="0.25">
      <c r="C1358" s="1136"/>
      <c r="L1358" s="1087"/>
      <c r="U1358" s="1087"/>
    </row>
    <row r="1359" spans="3:21" x14ac:dyDescent="0.25">
      <c r="C1359" s="1136"/>
      <c r="L1359" s="1087"/>
      <c r="U1359" s="1087"/>
    </row>
    <row r="1360" spans="3:21" x14ac:dyDescent="0.25">
      <c r="C1360" s="1136"/>
      <c r="L1360" s="1087"/>
      <c r="U1360" s="1087"/>
    </row>
    <row r="1361" spans="3:21" x14ac:dyDescent="0.25">
      <c r="C1361" s="1136"/>
      <c r="L1361" s="1087"/>
      <c r="U1361" s="1087"/>
    </row>
    <row r="1362" spans="3:21" x14ac:dyDescent="0.25">
      <c r="C1362" s="1136"/>
      <c r="L1362" s="1087"/>
      <c r="U1362" s="1087"/>
    </row>
    <row r="1363" spans="3:21" x14ac:dyDescent="0.25">
      <c r="C1363" s="1136"/>
      <c r="L1363" s="1087"/>
      <c r="U1363" s="1087"/>
    </row>
    <row r="1364" spans="3:21" x14ac:dyDescent="0.25">
      <c r="C1364" s="1136"/>
      <c r="L1364" s="1087"/>
      <c r="U1364" s="1087"/>
    </row>
    <row r="1365" spans="3:21" x14ac:dyDescent="0.25">
      <c r="C1365" s="1136"/>
      <c r="L1365" s="1087"/>
      <c r="U1365" s="1087"/>
    </row>
    <row r="1366" spans="3:21" x14ac:dyDescent="0.25">
      <c r="C1366" s="1136"/>
      <c r="L1366" s="1087"/>
      <c r="U1366" s="1087"/>
    </row>
    <row r="1367" spans="3:21" x14ac:dyDescent="0.25">
      <c r="C1367" s="1136"/>
      <c r="L1367" s="1087"/>
      <c r="U1367" s="1087"/>
    </row>
    <row r="1368" spans="3:21" x14ac:dyDescent="0.25">
      <c r="C1368" s="1136"/>
      <c r="L1368" s="1087"/>
      <c r="U1368" s="1087"/>
    </row>
    <row r="1369" spans="3:21" x14ac:dyDescent="0.25">
      <c r="C1369" s="1136"/>
      <c r="L1369" s="1087"/>
      <c r="U1369" s="1087"/>
    </row>
    <row r="1370" spans="3:21" x14ac:dyDescent="0.25">
      <c r="C1370" s="1136"/>
      <c r="L1370" s="1087"/>
      <c r="U1370" s="1087"/>
    </row>
    <row r="1371" spans="3:21" x14ac:dyDescent="0.25">
      <c r="C1371" s="1136"/>
      <c r="L1371" s="1087"/>
      <c r="U1371" s="1087"/>
    </row>
    <row r="1372" spans="3:21" x14ac:dyDescent="0.25">
      <c r="C1372" s="1136"/>
      <c r="L1372" s="1087"/>
      <c r="U1372" s="1087"/>
    </row>
    <row r="1373" spans="3:21" x14ac:dyDescent="0.25">
      <c r="C1373" s="1136"/>
      <c r="L1373" s="1087"/>
      <c r="U1373" s="1087"/>
    </row>
    <row r="1374" spans="3:21" x14ac:dyDescent="0.25">
      <c r="C1374" s="1136"/>
      <c r="L1374" s="1087"/>
      <c r="U1374" s="1087"/>
    </row>
    <row r="1375" spans="3:21" x14ac:dyDescent="0.25">
      <c r="C1375" s="1136"/>
      <c r="L1375" s="1087"/>
      <c r="U1375" s="1087"/>
    </row>
    <row r="1376" spans="3:21" x14ac:dyDescent="0.25">
      <c r="C1376" s="1136"/>
      <c r="L1376" s="1087"/>
      <c r="U1376" s="1087"/>
    </row>
    <row r="1377" spans="3:21" x14ac:dyDescent="0.25">
      <c r="C1377" s="1136"/>
      <c r="L1377" s="1087"/>
      <c r="U1377" s="1087"/>
    </row>
    <row r="1378" spans="3:21" x14ac:dyDescent="0.25">
      <c r="C1378" s="1136"/>
      <c r="L1378" s="1087"/>
      <c r="U1378" s="1087"/>
    </row>
    <row r="1379" spans="3:21" x14ac:dyDescent="0.25">
      <c r="C1379" s="1136"/>
      <c r="L1379" s="1087"/>
      <c r="U1379" s="1087"/>
    </row>
    <row r="1380" spans="3:21" x14ac:dyDescent="0.25">
      <c r="C1380" s="1136"/>
      <c r="L1380" s="1087"/>
      <c r="U1380" s="1087"/>
    </row>
    <row r="1381" spans="3:21" x14ac:dyDescent="0.25">
      <c r="C1381" s="1136"/>
      <c r="L1381" s="1087"/>
      <c r="U1381" s="1087"/>
    </row>
    <row r="1382" spans="3:21" x14ac:dyDescent="0.25">
      <c r="C1382" s="1136"/>
      <c r="L1382" s="1087"/>
      <c r="U1382" s="1087"/>
    </row>
    <row r="1383" spans="3:21" x14ac:dyDescent="0.25">
      <c r="C1383" s="1136"/>
      <c r="L1383" s="1087"/>
      <c r="U1383" s="1087"/>
    </row>
    <row r="1384" spans="3:21" x14ac:dyDescent="0.25">
      <c r="C1384" s="1136"/>
      <c r="L1384" s="1087"/>
      <c r="U1384" s="1087"/>
    </row>
    <row r="1385" spans="3:21" x14ac:dyDescent="0.25">
      <c r="C1385" s="1136"/>
      <c r="L1385" s="1087"/>
      <c r="U1385" s="1087"/>
    </row>
    <row r="1386" spans="3:21" x14ac:dyDescent="0.25">
      <c r="C1386" s="1136"/>
      <c r="L1386" s="1087"/>
      <c r="U1386" s="1087"/>
    </row>
    <row r="1387" spans="3:21" x14ac:dyDescent="0.25">
      <c r="C1387" s="1136"/>
      <c r="L1387" s="1087"/>
      <c r="U1387" s="1087"/>
    </row>
    <row r="1388" spans="3:21" x14ac:dyDescent="0.25">
      <c r="C1388" s="1136"/>
      <c r="L1388" s="1087"/>
      <c r="U1388" s="1087"/>
    </row>
    <row r="1389" spans="3:21" x14ac:dyDescent="0.25">
      <c r="C1389" s="1136"/>
      <c r="L1389" s="1087"/>
      <c r="U1389" s="1087"/>
    </row>
    <row r="1390" spans="3:21" x14ac:dyDescent="0.25">
      <c r="C1390" s="1136"/>
      <c r="L1390" s="1087"/>
      <c r="U1390" s="1087"/>
    </row>
    <row r="1391" spans="3:21" x14ac:dyDescent="0.25">
      <c r="C1391" s="1136"/>
      <c r="L1391" s="1087"/>
      <c r="U1391" s="1087"/>
    </row>
    <row r="1392" spans="3:21" x14ac:dyDescent="0.25">
      <c r="C1392" s="1136"/>
      <c r="L1392" s="1087"/>
      <c r="U1392" s="1087"/>
    </row>
    <row r="1393" spans="3:21" x14ac:dyDescent="0.25">
      <c r="C1393" s="1136"/>
      <c r="L1393" s="1087"/>
      <c r="U1393" s="1087"/>
    </row>
    <row r="1394" spans="3:21" x14ac:dyDescent="0.25">
      <c r="C1394" s="1136"/>
      <c r="L1394" s="1087"/>
      <c r="U1394" s="1087"/>
    </row>
    <row r="1395" spans="3:21" x14ac:dyDescent="0.25">
      <c r="C1395" s="1136"/>
      <c r="L1395" s="1087"/>
      <c r="U1395" s="1087"/>
    </row>
    <row r="1396" spans="3:21" x14ac:dyDescent="0.25">
      <c r="C1396" s="1136"/>
      <c r="L1396" s="1087"/>
      <c r="U1396" s="1087"/>
    </row>
    <row r="1397" spans="3:21" x14ac:dyDescent="0.25">
      <c r="C1397" s="1136"/>
      <c r="L1397" s="1087"/>
      <c r="U1397" s="1087"/>
    </row>
    <row r="1398" spans="3:21" x14ac:dyDescent="0.25">
      <c r="C1398" s="1136"/>
      <c r="L1398" s="1087"/>
      <c r="U1398" s="1087"/>
    </row>
    <row r="1399" spans="3:21" x14ac:dyDescent="0.25">
      <c r="C1399" s="1136"/>
      <c r="L1399" s="1087"/>
      <c r="U1399" s="1087"/>
    </row>
    <row r="1400" spans="3:21" x14ac:dyDescent="0.25">
      <c r="C1400" s="1136"/>
      <c r="L1400" s="1087"/>
      <c r="U1400" s="1087"/>
    </row>
    <row r="1401" spans="3:21" x14ac:dyDescent="0.25">
      <c r="C1401" s="1136"/>
      <c r="L1401" s="1087"/>
      <c r="U1401" s="1087"/>
    </row>
    <row r="1402" spans="3:21" x14ac:dyDescent="0.25">
      <c r="C1402" s="1136"/>
      <c r="L1402" s="1087"/>
      <c r="U1402" s="1087"/>
    </row>
    <row r="1403" spans="3:21" x14ac:dyDescent="0.25">
      <c r="C1403" s="1136"/>
      <c r="L1403" s="1087"/>
      <c r="U1403" s="1087"/>
    </row>
    <row r="1404" spans="3:21" x14ac:dyDescent="0.25">
      <c r="C1404" s="1136"/>
      <c r="L1404" s="1087"/>
      <c r="U1404" s="1087"/>
    </row>
    <row r="1405" spans="3:21" x14ac:dyDescent="0.25">
      <c r="C1405" s="1136"/>
      <c r="L1405" s="1087"/>
      <c r="U1405" s="1087"/>
    </row>
    <row r="1406" spans="3:21" x14ac:dyDescent="0.25">
      <c r="C1406" s="1136"/>
      <c r="L1406" s="1087"/>
      <c r="U1406" s="1087"/>
    </row>
    <row r="1407" spans="3:21" x14ac:dyDescent="0.25">
      <c r="C1407" s="1136"/>
      <c r="L1407" s="1087"/>
      <c r="U1407" s="1087"/>
    </row>
    <row r="1408" spans="3:21" x14ac:dyDescent="0.25">
      <c r="C1408" s="1136"/>
      <c r="L1408" s="1087"/>
      <c r="U1408" s="1087"/>
    </row>
    <row r="1409" spans="3:21" x14ac:dyDescent="0.25">
      <c r="C1409" s="1136"/>
      <c r="L1409" s="1087"/>
      <c r="U1409" s="1087"/>
    </row>
    <row r="1410" spans="3:21" x14ac:dyDescent="0.25">
      <c r="C1410" s="1136"/>
      <c r="L1410" s="1087"/>
      <c r="U1410" s="1087"/>
    </row>
    <row r="1411" spans="3:21" x14ac:dyDescent="0.25">
      <c r="C1411" s="1136"/>
      <c r="L1411" s="1087"/>
      <c r="U1411" s="1087"/>
    </row>
    <row r="1412" spans="3:21" x14ac:dyDescent="0.25">
      <c r="C1412" s="1136"/>
      <c r="L1412" s="1087"/>
      <c r="U1412" s="1087"/>
    </row>
    <row r="1413" spans="3:21" x14ac:dyDescent="0.25">
      <c r="C1413" s="1136"/>
      <c r="L1413" s="1087"/>
      <c r="U1413" s="1087"/>
    </row>
    <row r="1414" spans="3:21" x14ac:dyDescent="0.25">
      <c r="C1414" s="1136"/>
      <c r="L1414" s="1087"/>
      <c r="U1414" s="1087"/>
    </row>
    <row r="1415" spans="3:21" x14ac:dyDescent="0.25">
      <c r="C1415" s="1136"/>
      <c r="L1415" s="1087"/>
      <c r="U1415" s="1087"/>
    </row>
    <row r="1416" spans="3:21" x14ac:dyDescent="0.25">
      <c r="C1416" s="1136"/>
      <c r="L1416" s="1087"/>
      <c r="U1416" s="1087"/>
    </row>
    <row r="1417" spans="3:21" x14ac:dyDescent="0.25">
      <c r="C1417" s="1136"/>
      <c r="L1417" s="1087"/>
      <c r="U1417" s="1087"/>
    </row>
    <row r="1418" spans="3:21" x14ac:dyDescent="0.25">
      <c r="C1418" s="1136"/>
      <c r="L1418" s="1087"/>
      <c r="U1418" s="1087"/>
    </row>
    <row r="1419" spans="3:21" x14ac:dyDescent="0.25">
      <c r="C1419" s="1136"/>
      <c r="L1419" s="1087"/>
      <c r="U1419" s="1087"/>
    </row>
    <row r="1420" spans="3:21" x14ac:dyDescent="0.25">
      <c r="C1420" s="1136"/>
      <c r="L1420" s="1087"/>
      <c r="U1420" s="1087"/>
    </row>
    <row r="1421" spans="3:21" x14ac:dyDescent="0.25">
      <c r="C1421" s="1136"/>
      <c r="L1421" s="1087"/>
      <c r="U1421" s="1087"/>
    </row>
    <row r="1422" spans="3:21" x14ac:dyDescent="0.25">
      <c r="C1422" s="1136"/>
      <c r="L1422" s="1087"/>
      <c r="U1422" s="1087"/>
    </row>
    <row r="1423" spans="3:21" x14ac:dyDescent="0.25">
      <c r="C1423" s="1136"/>
      <c r="L1423" s="1087"/>
      <c r="U1423" s="1087"/>
    </row>
    <row r="1424" spans="3:21" x14ac:dyDescent="0.25">
      <c r="C1424" s="1136"/>
      <c r="L1424" s="1087"/>
      <c r="U1424" s="1087"/>
    </row>
    <row r="1425" spans="3:21" x14ac:dyDescent="0.25">
      <c r="C1425" s="1136"/>
      <c r="L1425" s="1087"/>
      <c r="U1425" s="1087"/>
    </row>
    <row r="1426" spans="3:21" x14ac:dyDescent="0.25">
      <c r="C1426" s="1136"/>
      <c r="L1426" s="1087"/>
      <c r="U1426" s="1087"/>
    </row>
    <row r="1427" spans="3:21" x14ac:dyDescent="0.25">
      <c r="C1427" s="1136"/>
      <c r="L1427" s="1087"/>
      <c r="U1427" s="1087"/>
    </row>
    <row r="1428" spans="3:21" x14ac:dyDescent="0.25">
      <c r="C1428" s="1136"/>
      <c r="L1428" s="1087"/>
      <c r="U1428" s="1087"/>
    </row>
    <row r="1429" spans="3:21" x14ac:dyDescent="0.25">
      <c r="C1429" s="1136"/>
      <c r="L1429" s="1087"/>
      <c r="U1429" s="1087"/>
    </row>
    <row r="1430" spans="3:21" x14ac:dyDescent="0.25">
      <c r="C1430" s="1136"/>
      <c r="L1430" s="1087"/>
      <c r="U1430" s="1087"/>
    </row>
    <row r="1431" spans="3:21" x14ac:dyDescent="0.25">
      <c r="C1431" s="1136"/>
      <c r="L1431" s="1087"/>
      <c r="U1431" s="1087"/>
    </row>
    <row r="1432" spans="3:21" x14ac:dyDescent="0.25">
      <c r="C1432" s="1136"/>
      <c r="L1432" s="1087"/>
      <c r="U1432" s="1087"/>
    </row>
    <row r="1433" spans="3:21" x14ac:dyDescent="0.25">
      <c r="C1433" s="1136"/>
      <c r="L1433" s="1087"/>
      <c r="U1433" s="1087"/>
    </row>
    <row r="1434" spans="3:21" x14ac:dyDescent="0.25">
      <c r="C1434" s="1136"/>
      <c r="L1434" s="1087"/>
      <c r="U1434" s="1087"/>
    </row>
    <row r="1435" spans="3:21" x14ac:dyDescent="0.25">
      <c r="C1435" s="1136"/>
      <c r="L1435" s="1087"/>
      <c r="U1435" s="1087"/>
    </row>
    <row r="1436" spans="3:21" x14ac:dyDescent="0.25">
      <c r="C1436" s="1136"/>
      <c r="L1436" s="1087"/>
      <c r="U1436" s="1087"/>
    </row>
    <row r="1437" spans="3:21" x14ac:dyDescent="0.25">
      <c r="C1437" s="1136"/>
      <c r="L1437" s="1087"/>
      <c r="U1437" s="1087"/>
    </row>
    <row r="1438" spans="3:21" x14ac:dyDescent="0.25">
      <c r="C1438" s="1136"/>
      <c r="L1438" s="1087"/>
      <c r="U1438" s="1087"/>
    </row>
    <row r="1439" spans="3:21" x14ac:dyDescent="0.25">
      <c r="C1439" s="1136"/>
      <c r="L1439" s="1087"/>
      <c r="U1439" s="1087"/>
    </row>
    <row r="1440" spans="3:21" x14ac:dyDescent="0.25">
      <c r="C1440" s="1136"/>
      <c r="L1440" s="1087"/>
      <c r="U1440" s="1087"/>
    </row>
    <row r="1441" spans="3:21" x14ac:dyDescent="0.25">
      <c r="C1441" s="1136"/>
      <c r="L1441" s="1087"/>
      <c r="U1441" s="1087"/>
    </row>
    <row r="1442" spans="3:21" x14ac:dyDescent="0.25">
      <c r="C1442" s="1136"/>
      <c r="L1442" s="1087"/>
      <c r="U1442" s="1087"/>
    </row>
    <row r="1443" spans="3:21" x14ac:dyDescent="0.25">
      <c r="C1443" s="1136"/>
      <c r="L1443" s="1087"/>
      <c r="U1443" s="1087"/>
    </row>
    <row r="1444" spans="3:21" x14ac:dyDescent="0.25">
      <c r="C1444" s="1136"/>
      <c r="L1444" s="1087"/>
      <c r="U1444" s="1087"/>
    </row>
    <row r="1445" spans="3:21" x14ac:dyDescent="0.25">
      <c r="C1445" s="1136"/>
      <c r="L1445" s="1087"/>
      <c r="U1445" s="1087"/>
    </row>
    <row r="1446" spans="3:21" x14ac:dyDescent="0.25">
      <c r="C1446" s="1136"/>
      <c r="L1446" s="1087"/>
      <c r="U1446" s="1087"/>
    </row>
    <row r="1447" spans="3:21" x14ac:dyDescent="0.25">
      <c r="C1447" s="1136"/>
      <c r="L1447" s="1087"/>
      <c r="U1447" s="1087"/>
    </row>
    <row r="1448" spans="3:21" x14ac:dyDescent="0.25">
      <c r="C1448" s="1136"/>
      <c r="L1448" s="1087"/>
      <c r="U1448" s="1087"/>
    </row>
    <row r="1449" spans="3:21" x14ac:dyDescent="0.25">
      <c r="C1449" s="1136"/>
      <c r="L1449" s="1087"/>
      <c r="U1449" s="1087"/>
    </row>
    <row r="1450" spans="3:21" x14ac:dyDescent="0.25">
      <c r="C1450" s="1136"/>
      <c r="L1450" s="1087"/>
      <c r="U1450" s="1087"/>
    </row>
    <row r="1451" spans="3:21" x14ac:dyDescent="0.25">
      <c r="C1451" s="1136"/>
      <c r="L1451" s="1087"/>
      <c r="U1451" s="1087"/>
    </row>
    <row r="1452" spans="3:21" x14ac:dyDescent="0.25">
      <c r="C1452" s="1136"/>
      <c r="L1452" s="1087"/>
      <c r="U1452" s="1087"/>
    </row>
    <row r="1453" spans="3:21" x14ac:dyDescent="0.25">
      <c r="C1453" s="1136"/>
      <c r="L1453" s="1087"/>
      <c r="U1453" s="1087"/>
    </row>
    <row r="1454" spans="3:21" x14ac:dyDescent="0.25">
      <c r="C1454" s="1136"/>
      <c r="L1454" s="1087"/>
      <c r="U1454" s="1087"/>
    </row>
    <row r="1455" spans="3:21" x14ac:dyDescent="0.25">
      <c r="C1455" s="1136"/>
      <c r="L1455" s="1087"/>
      <c r="U1455" s="1087"/>
    </row>
    <row r="1456" spans="3:21" x14ac:dyDescent="0.25">
      <c r="C1456" s="1136"/>
      <c r="L1456" s="1087"/>
      <c r="U1456" s="1087"/>
    </row>
    <row r="1457" spans="3:21" x14ac:dyDescent="0.25">
      <c r="C1457" s="1136"/>
      <c r="L1457" s="1087"/>
      <c r="U1457" s="1087"/>
    </row>
    <row r="1458" spans="3:21" x14ac:dyDescent="0.25">
      <c r="C1458" s="1136"/>
      <c r="L1458" s="1087"/>
      <c r="U1458" s="1087"/>
    </row>
    <row r="1459" spans="3:21" x14ac:dyDescent="0.25">
      <c r="C1459" s="1136"/>
      <c r="L1459" s="1087"/>
      <c r="U1459" s="1087"/>
    </row>
    <row r="1460" spans="3:21" x14ac:dyDescent="0.25">
      <c r="C1460" s="1136"/>
      <c r="L1460" s="1087"/>
      <c r="U1460" s="1087"/>
    </row>
    <row r="1461" spans="3:21" x14ac:dyDescent="0.25">
      <c r="C1461" s="1136"/>
      <c r="L1461" s="1087"/>
      <c r="U1461" s="1087"/>
    </row>
    <row r="1462" spans="3:21" x14ac:dyDescent="0.25">
      <c r="C1462" s="1136"/>
      <c r="L1462" s="1087"/>
      <c r="U1462" s="1087"/>
    </row>
    <row r="1463" spans="3:21" x14ac:dyDescent="0.25">
      <c r="C1463" s="1136"/>
      <c r="L1463" s="1087"/>
      <c r="U1463" s="1087"/>
    </row>
    <row r="1464" spans="3:21" x14ac:dyDescent="0.25">
      <c r="C1464" s="1136"/>
      <c r="L1464" s="1087"/>
      <c r="U1464" s="1087"/>
    </row>
    <row r="1465" spans="3:21" x14ac:dyDescent="0.25">
      <c r="C1465" s="1136"/>
      <c r="L1465" s="1087"/>
      <c r="U1465" s="1087"/>
    </row>
    <row r="1466" spans="3:21" x14ac:dyDescent="0.25">
      <c r="C1466" s="1136"/>
      <c r="L1466" s="1087"/>
      <c r="U1466" s="1087"/>
    </row>
    <row r="1467" spans="3:21" x14ac:dyDescent="0.25">
      <c r="C1467" s="1136"/>
      <c r="L1467" s="1087"/>
      <c r="U1467" s="1087"/>
    </row>
    <row r="1468" spans="3:21" x14ac:dyDescent="0.25">
      <c r="C1468" s="1136"/>
      <c r="L1468" s="1087"/>
      <c r="U1468" s="1087"/>
    </row>
    <row r="1469" spans="3:21" x14ac:dyDescent="0.25">
      <c r="C1469" s="1136"/>
      <c r="L1469" s="1087"/>
      <c r="U1469" s="1087"/>
    </row>
    <row r="1470" spans="3:21" x14ac:dyDescent="0.25">
      <c r="C1470" s="1136"/>
      <c r="L1470" s="1087"/>
      <c r="U1470" s="1087"/>
    </row>
    <row r="1471" spans="3:21" x14ac:dyDescent="0.25">
      <c r="C1471" s="1136"/>
      <c r="L1471" s="1087"/>
      <c r="U1471" s="1087"/>
    </row>
    <row r="1472" spans="3:21" x14ac:dyDescent="0.25">
      <c r="C1472" s="1136"/>
      <c r="L1472" s="1087"/>
      <c r="U1472" s="1087"/>
    </row>
    <row r="1473" spans="3:21" x14ac:dyDescent="0.25">
      <c r="C1473" s="1136"/>
      <c r="L1473" s="1087"/>
      <c r="U1473" s="1087"/>
    </row>
    <row r="1474" spans="3:21" x14ac:dyDescent="0.25">
      <c r="C1474" s="1136"/>
      <c r="L1474" s="1087"/>
      <c r="U1474" s="1087"/>
    </row>
    <row r="1475" spans="3:21" x14ac:dyDescent="0.25">
      <c r="C1475" s="1136"/>
      <c r="L1475" s="1087"/>
      <c r="U1475" s="1087"/>
    </row>
    <row r="1476" spans="3:21" x14ac:dyDescent="0.25">
      <c r="C1476" s="1136"/>
      <c r="L1476" s="1087"/>
      <c r="U1476" s="1087"/>
    </row>
    <row r="1477" spans="3:21" x14ac:dyDescent="0.25">
      <c r="C1477" s="1136"/>
      <c r="L1477" s="1087"/>
      <c r="U1477" s="1087"/>
    </row>
    <row r="1478" spans="3:21" x14ac:dyDescent="0.25">
      <c r="C1478" s="1136"/>
      <c r="L1478" s="1087"/>
      <c r="U1478" s="1087"/>
    </row>
    <row r="1479" spans="3:21" x14ac:dyDescent="0.25">
      <c r="C1479" s="1136"/>
      <c r="L1479" s="1087"/>
      <c r="U1479" s="1087"/>
    </row>
    <row r="1480" spans="3:21" x14ac:dyDescent="0.25">
      <c r="C1480" s="1136"/>
      <c r="L1480" s="1087"/>
      <c r="U1480" s="1087"/>
    </row>
    <row r="1481" spans="3:21" x14ac:dyDescent="0.25">
      <c r="C1481" s="1136"/>
      <c r="L1481" s="1087"/>
      <c r="U1481" s="1087"/>
    </row>
    <row r="1482" spans="3:21" x14ac:dyDescent="0.25">
      <c r="C1482" s="1136"/>
      <c r="L1482" s="1087"/>
      <c r="U1482" s="1087"/>
    </row>
    <row r="1483" spans="3:21" x14ac:dyDescent="0.25">
      <c r="C1483" s="1136"/>
      <c r="L1483" s="1087"/>
      <c r="U1483" s="1087"/>
    </row>
    <row r="1484" spans="3:21" x14ac:dyDescent="0.25">
      <c r="C1484" s="1136"/>
      <c r="L1484" s="1087"/>
      <c r="U1484" s="1087"/>
    </row>
    <row r="1485" spans="3:21" x14ac:dyDescent="0.25">
      <c r="C1485" s="1136"/>
      <c r="L1485" s="1087"/>
      <c r="U1485" s="1087"/>
    </row>
    <row r="1486" spans="3:21" x14ac:dyDescent="0.25">
      <c r="C1486" s="1136"/>
      <c r="L1486" s="1087"/>
      <c r="U1486" s="1087"/>
    </row>
    <row r="1487" spans="3:21" x14ac:dyDescent="0.25">
      <c r="C1487" s="1136"/>
      <c r="L1487" s="1087"/>
      <c r="U1487" s="1087"/>
    </row>
    <row r="1488" spans="3:21" x14ac:dyDescent="0.25">
      <c r="C1488" s="1136"/>
      <c r="L1488" s="1087"/>
      <c r="U1488" s="1087"/>
    </row>
    <row r="1489" spans="3:21" x14ac:dyDescent="0.25">
      <c r="C1489" s="1136"/>
      <c r="L1489" s="1087"/>
      <c r="U1489" s="1087"/>
    </row>
    <row r="1490" spans="3:21" x14ac:dyDescent="0.25">
      <c r="C1490" s="1136"/>
      <c r="L1490" s="1087"/>
      <c r="U1490" s="1087"/>
    </row>
    <row r="1491" spans="3:21" x14ac:dyDescent="0.25">
      <c r="C1491" s="1136"/>
      <c r="L1491" s="1087"/>
      <c r="U1491" s="1087"/>
    </row>
    <row r="1492" spans="3:21" x14ac:dyDescent="0.25">
      <c r="C1492" s="1136"/>
      <c r="L1492" s="1087"/>
      <c r="U1492" s="1087"/>
    </row>
    <row r="1493" spans="3:21" x14ac:dyDescent="0.25">
      <c r="C1493" s="1136"/>
      <c r="L1493" s="1087"/>
      <c r="U1493" s="1087"/>
    </row>
    <row r="1494" spans="3:21" x14ac:dyDescent="0.25">
      <c r="C1494" s="1136"/>
      <c r="L1494" s="1087"/>
      <c r="U1494" s="1087"/>
    </row>
    <row r="1495" spans="3:21" x14ac:dyDescent="0.25">
      <c r="C1495" s="1136"/>
      <c r="L1495" s="1087"/>
      <c r="U1495" s="1087"/>
    </row>
    <row r="1496" spans="3:21" x14ac:dyDescent="0.25">
      <c r="C1496" s="1136"/>
      <c r="L1496" s="1087"/>
      <c r="U1496" s="1087"/>
    </row>
    <row r="1497" spans="3:21" x14ac:dyDescent="0.25">
      <c r="C1497" s="1136"/>
      <c r="L1497" s="1087"/>
      <c r="U1497" s="1087"/>
    </row>
    <row r="1498" spans="3:21" x14ac:dyDescent="0.25">
      <c r="C1498" s="1136"/>
      <c r="L1498" s="1087"/>
      <c r="U1498" s="1087"/>
    </row>
    <row r="1499" spans="3:21" x14ac:dyDescent="0.25">
      <c r="C1499" s="1136"/>
      <c r="L1499" s="1087"/>
      <c r="U1499" s="1087"/>
    </row>
    <row r="1500" spans="3:21" x14ac:dyDescent="0.25">
      <c r="C1500" s="1136"/>
      <c r="L1500" s="1087"/>
      <c r="U1500" s="1087"/>
    </row>
    <row r="1501" spans="3:21" x14ac:dyDescent="0.25">
      <c r="C1501" s="1136"/>
      <c r="L1501" s="1087"/>
      <c r="U1501" s="1087"/>
    </row>
    <row r="1502" spans="3:21" x14ac:dyDescent="0.25">
      <c r="C1502" s="1136"/>
      <c r="L1502" s="1087"/>
      <c r="U1502" s="1087"/>
    </row>
    <row r="1503" spans="3:21" x14ac:dyDescent="0.25">
      <c r="C1503" s="1136"/>
      <c r="L1503" s="1087"/>
      <c r="U1503" s="1087"/>
    </row>
    <row r="1504" spans="3:21" x14ac:dyDescent="0.25">
      <c r="C1504" s="1136"/>
      <c r="L1504" s="1087"/>
      <c r="U1504" s="1087"/>
    </row>
    <row r="1505" spans="3:21" x14ac:dyDescent="0.25">
      <c r="C1505" s="1136"/>
      <c r="L1505" s="1087"/>
      <c r="U1505" s="1087"/>
    </row>
    <row r="1506" spans="3:21" x14ac:dyDescent="0.25">
      <c r="C1506" s="1136"/>
      <c r="L1506" s="1087"/>
      <c r="U1506" s="1087"/>
    </row>
    <row r="1507" spans="3:21" x14ac:dyDescent="0.25">
      <c r="C1507" s="1136"/>
      <c r="L1507" s="1087"/>
      <c r="U1507" s="1087"/>
    </row>
    <row r="1508" spans="3:21" x14ac:dyDescent="0.25">
      <c r="C1508" s="1136"/>
      <c r="L1508" s="1087"/>
      <c r="U1508" s="1087"/>
    </row>
    <row r="1509" spans="3:21" x14ac:dyDescent="0.25">
      <c r="C1509" s="1136"/>
      <c r="L1509" s="1087"/>
      <c r="U1509" s="1087"/>
    </row>
    <row r="1510" spans="3:21" x14ac:dyDescent="0.25">
      <c r="C1510" s="1136"/>
      <c r="L1510" s="1087"/>
      <c r="U1510" s="1087"/>
    </row>
    <row r="1511" spans="3:21" x14ac:dyDescent="0.25">
      <c r="C1511" s="1136"/>
      <c r="L1511" s="1087"/>
      <c r="U1511" s="1087"/>
    </row>
    <row r="1512" spans="3:21" x14ac:dyDescent="0.25">
      <c r="C1512" s="1136"/>
      <c r="L1512" s="1087"/>
      <c r="U1512" s="1087"/>
    </row>
    <row r="1513" spans="3:21" x14ac:dyDescent="0.25">
      <c r="C1513" s="1136"/>
      <c r="L1513" s="1087"/>
      <c r="U1513" s="1087"/>
    </row>
    <row r="1514" spans="3:21" x14ac:dyDescent="0.25">
      <c r="C1514" s="1136"/>
      <c r="L1514" s="1087"/>
      <c r="U1514" s="1087"/>
    </row>
    <row r="1515" spans="3:21" x14ac:dyDescent="0.25">
      <c r="C1515" s="1136"/>
      <c r="L1515" s="1087"/>
      <c r="U1515" s="1087"/>
    </row>
    <row r="1516" spans="3:21" x14ac:dyDescent="0.25">
      <c r="C1516" s="1136"/>
      <c r="L1516" s="1087"/>
      <c r="U1516" s="1087"/>
    </row>
    <row r="1517" spans="3:21" x14ac:dyDescent="0.25">
      <c r="C1517" s="1136"/>
      <c r="L1517" s="1087"/>
      <c r="U1517" s="1087"/>
    </row>
    <row r="1518" spans="3:21" x14ac:dyDescent="0.25">
      <c r="C1518" s="1136"/>
      <c r="L1518" s="1087"/>
      <c r="U1518" s="1087"/>
    </row>
    <row r="1519" spans="3:21" x14ac:dyDescent="0.25">
      <c r="C1519" s="1136"/>
      <c r="L1519" s="1087"/>
      <c r="U1519" s="1087"/>
    </row>
    <row r="1520" spans="3:21" x14ac:dyDescent="0.25">
      <c r="C1520" s="1136"/>
      <c r="L1520" s="1087"/>
      <c r="U1520" s="1087"/>
    </row>
    <row r="1521" spans="3:21" x14ac:dyDescent="0.25">
      <c r="C1521" s="1136"/>
      <c r="L1521" s="1087"/>
      <c r="U1521" s="1087"/>
    </row>
    <row r="1522" spans="3:21" x14ac:dyDescent="0.25">
      <c r="C1522" s="1136"/>
      <c r="L1522" s="1087"/>
      <c r="U1522" s="1087"/>
    </row>
    <row r="1523" spans="3:21" x14ac:dyDescent="0.25">
      <c r="C1523" s="1136"/>
      <c r="L1523" s="1087"/>
      <c r="U1523" s="1087"/>
    </row>
    <row r="1524" spans="3:21" x14ac:dyDescent="0.25">
      <c r="C1524" s="1136"/>
      <c r="L1524" s="1087"/>
      <c r="U1524" s="1087"/>
    </row>
    <row r="1525" spans="3:21" x14ac:dyDescent="0.25">
      <c r="C1525" s="1136"/>
      <c r="L1525" s="1087"/>
      <c r="U1525" s="1087"/>
    </row>
    <row r="1526" spans="3:21" x14ac:dyDescent="0.25">
      <c r="C1526" s="1136"/>
      <c r="L1526" s="1087"/>
      <c r="U1526" s="1087"/>
    </row>
    <row r="1527" spans="3:21" x14ac:dyDescent="0.25">
      <c r="C1527" s="1136"/>
      <c r="L1527" s="1087"/>
      <c r="U1527" s="1087"/>
    </row>
    <row r="1528" spans="3:21" x14ac:dyDescent="0.25">
      <c r="C1528" s="1136"/>
      <c r="L1528" s="1087"/>
      <c r="U1528" s="1087"/>
    </row>
    <row r="1529" spans="3:21" x14ac:dyDescent="0.25">
      <c r="C1529" s="1136"/>
      <c r="L1529" s="1087"/>
      <c r="U1529" s="1087"/>
    </row>
    <row r="1530" spans="3:21" x14ac:dyDescent="0.25">
      <c r="C1530" s="1136"/>
      <c r="L1530" s="1087"/>
      <c r="U1530" s="1087"/>
    </row>
    <row r="1531" spans="3:21" x14ac:dyDescent="0.25">
      <c r="C1531" s="1136"/>
      <c r="L1531" s="1087"/>
      <c r="U1531" s="1087"/>
    </row>
    <row r="1532" spans="3:21" x14ac:dyDescent="0.25">
      <c r="C1532" s="1136"/>
      <c r="L1532" s="1087"/>
      <c r="U1532" s="1087"/>
    </row>
    <row r="1533" spans="3:21" x14ac:dyDescent="0.25">
      <c r="C1533" s="1136"/>
      <c r="L1533" s="1087"/>
      <c r="U1533" s="1087"/>
    </row>
    <row r="1534" spans="3:21" x14ac:dyDescent="0.25">
      <c r="C1534" s="1136"/>
      <c r="L1534" s="1087"/>
      <c r="U1534" s="1087"/>
    </row>
    <row r="1535" spans="3:21" x14ac:dyDescent="0.25">
      <c r="C1535" s="1136"/>
      <c r="L1535" s="1087"/>
      <c r="U1535" s="1087"/>
    </row>
    <row r="1536" spans="3:21" x14ac:dyDescent="0.25">
      <c r="C1536" s="1136"/>
      <c r="L1536" s="1087"/>
      <c r="U1536" s="1087"/>
    </row>
    <row r="1537" spans="3:21" x14ac:dyDescent="0.25">
      <c r="C1537" s="1136"/>
      <c r="L1537" s="1087"/>
      <c r="U1537" s="1087"/>
    </row>
    <row r="1538" spans="3:21" x14ac:dyDescent="0.25">
      <c r="C1538" s="1136"/>
      <c r="L1538" s="1087"/>
      <c r="U1538" s="1087"/>
    </row>
    <row r="1539" spans="3:21" x14ac:dyDescent="0.25">
      <c r="C1539" s="1136"/>
      <c r="L1539" s="1087"/>
      <c r="U1539" s="1087"/>
    </row>
    <row r="1540" spans="3:21" x14ac:dyDescent="0.25">
      <c r="C1540" s="1136"/>
      <c r="L1540" s="1087"/>
      <c r="U1540" s="1087"/>
    </row>
    <row r="1541" spans="3:21" x14ac:dyDescent="0.25">
      <c r="C1541" s="1136"/>
      <c r="L1541" s="1087"/>
      <c r="U1541" s="1087"/>
    </row>
    <row r="1542" spans="3:21" x14ac:dyDescent="0.25">
      <c r="C1542" s="1136"/>
      <c r="L1542" s="1087"/>
      <c r="U1542" s="1087"/>
    </row>
    <row r="1543" spans="3:21" x14ac:dyDescent="0.25">
      <c r="C1543" s="1136"/>
      <c r="L1543" s="1087"/>
      <c r="U1543" s="1087"/>
    </row>
    <row r="1544" spans="3:21" x14ac:dyDescent="0.25">
      <c r="C1544" s="1136"/>
      <c r="L1544" s="1087"/>
      <c r="U1544" s="1087"/>
    </row>
    <row r="1545" spans="3:21" x14ac:dyDescent="0.25">
      <c r="C1545" s="1136"/>
      <c r="L1545" s="1087"/>
      <c r="U1545" s="1087"/>
    </row>
    <row r="1546" spans="3:21" x14ac:dyDescent="0.25">
      <c r="C1546" s="1136"/>
      <c r="L1546" s="1087"/>
      <c r="U1546" s="1087"/>
    </row>
    <row r="1547" spans="3:21" x14ac:dyDescent="0.25">
      <c r="C1547" s="1136"/>
      <c r="L1547" s="1087"/>
      <c r="U1547" s="1087"/>
    </row>
    <row r="1548" spans="3:21" x14ac:dyDescent="0.25">
      <c r="C1548" s="1136"/>
      <c r="L1548" s="1087"/>
      <c r="U1548" s="1087"/>
    </row>
    <row r="1549" spans="3:21" x14ac:dyDescent="0.25">
      <c r="C1549" s="1136"/>
      <c r="L1549" s="1087"/>
      <c r="U1549" s="1087"/>
    </row>
    <row r="1550" spans="3:21" x14ac:dyDescent="0.25">
      <c r="C1550" s="1136"/>
      <c r="L1550" s="1087"/>
      <c r="U1550" s="1087"/>
    </row>
    <row r="1551" spans="3:21" x14ac:dyDescent="0.25">
      <c r="C1551" s="1136"/>
      <c r="L1551" s="1087"/>
      <c r="U1551" s="1087"/>
    </row>
    <row r="1552" spans="3:21" x14ac:dyDescent="0.25">
      <c r="C1552" s="1136"/>
      <c r="L1552" s="1087"/>
      <c r="U1552" s="1087"/>
    </row>
    <row r="1553" spans="3:21" x14ac:dyDescent="0.25">
      <c r="C1553" s="1136"/>
      <c r="L1553" s="1087"/>
      <c r="U1553" s="1087"/>
    </row>
    <row r="1554" spans="3:21" x14ac:dyDescent="0.25">
      <c r="C1554" s="1136"/>
      <c r="L1554" s="1087"/>
      <c r="U1554" s="1087"/>
    </row>
    <row r="1555" spans="3:21" x14ac:dyDescent="0.25">
      <c r="C1555" s="1136"/>
      <c r="L1555" s="1087"/>
      <c r="U1555" s="1087"/>
    </row>
    <row r="1556" spans="3:21" x14ac:dyDescent="0.25">
      <c r="C1556" s="1136"/>
      <c r="L1556" s="1087"/>
      <c r="U1556" s="1087"/>
    </row>
    <row r="1557" spans="3:21" x14ac:dyDescent="0.25">
      <c r="C1557" s="1136"/>
      <c r="L1557" s="1087"/>
      <c r="U1557" s="1087"/>
    </row>
    <row r="1558" spans="3:21" x14ac:dyDescent="0.25">
      <c r="C1558" s="1136"/>
      <c r="L1558" s="1087"/>
      <c r="U1558" s="1087"/>
    </row>
    <row r="1559" spans="3:21" x14ac:dyDescent="0.25">
      <c r="C1559" s="1136"/>
      <c r="L1559" s="1087"/>
      <c r="U1559" s="1087"/>
    </row>
    <row r="1560" spans="3:21" x14ac:dyDescent="0.25">
      <c r="C1560" s="1136"/>
      <c r="L1560" s="1087"/>
      <c r="U1560" s="1087"/>
    </row>
    <row r="1561" spans="3:21" x14ac:dyDescent="0.25">
      <c r="C1561" s="1136"/>
      <c r="L1561" s="1087"/>
      <c r="U1561" s="1087"/>
    </row>
    <row r="1562" spans="3:21" x14ac:dyDescent="0.25">
      <c r="C1562" s="1136"/>
      <c r="L1562" s="1087"/>
      <c r="U1562" s="1087"/>
    </row>
    <row r="1563" spans="3:21" x14ac:dyDescent="0.25">
      <c r="C1563" s="1136"/>
      <c r="L1563" s="1087"/>
      <c r="U1563" s="1087"/>
    </row>
    <row r="1564" spans="3:21" x14ac:dyDescent="0.25">
      <c r="C1564" s="1136"/>
      <c r="U1564" s="1087"/>
    </row>
    <row r="1565" spans="3:21" x14ac:dyDescent="0.25">
      <c r="C1565" s="1136"/>
      <c r="U1565" s="1087"/>
    </row>
    <row r="1566" spans="3:21" x14ac:dyDescent="0.25">
      <c r="C1566" s="1136"/>
      <c r="U1566" s="1087"/>
    </row>
    <row r="1567" spans="3:21" x14ac:dyDescent="0.25">
      <c r="C1567" s="1136"/>
      <c r="U1567" s="1087"/>
    </row>
    <row r="1568" spans="3:21" x14ac:dyDescent="0.25">
      <c r="C1568" s="1136"/>
      <c r="U1568" s="1087"/>
    </row>
    <row r="1569" spans="3:21" x14ac:dyDescent="0.25">
      <c r="C1569" s="1136"/>
      <c r="U1569" s="1087"/>
    </row>
    <row r="1570" spans="3:21" x14ac:dyDescent="0.25">
      <c r="C1570" s="1136"/>
      <c r="U1570" s="1087"/>
    </row>
    <row r="1571" spans="3:21" x14ac:dyDescent="0.25">
      <c r="C1571" s="1136"/>
      <c r="U1571" s="1087"/>
    </row>
    <row r="1572" spans="3:21" x14ac:dyDescent="0.25">
      <c r="C1572" s="1136"/>
      <c r="U1572" s="1087"/>
    </row>
    <row r="1573" spans="3:21" x14ac:dyDescent="0.25">
      <c r="C1573" s="1136"/>
      <c r="U1573" s="1087"/>
    </row>
    <row r="1574" spans="3:21" x14ac:dyDescent="0.25">
      <c r="C1574" s="1136"/>
      <c r="U1574" s="1087"/>
    </row>
    <row r="1575" spans="3:21" x14ac:dyDescent="0.25">
      <c r="C1575" s="1136"/>
      <c r="U1575" s="1087"/>
    </row>
    <row r="1576" spans="3:21" x14ac:dyDescent="0.25">
      <c r="C1576" s="1136"/>
      <c r="U1576" s="1087"/>
    </row>
    <row r="1577" spans="3:21" x14ac:dyDescent="0.25">
      <c r="C1577" s="1136"/>
      <c r="U1577" s="1087"/>
    </row>
    <row r="1578" spans="3:21" x14ac:dyDescent="0.25">
      <c r="C1578" s="1136"/>
      <c r="U1578" s="1087"/>
    </row>
    <row r="1579" spans="3:21" x14ac:dyDescent="0.25">
      <c r="C1579" s="1136"/>
      <c r="U1579" s="1087"/>
    </row>
    <row r="1580" spans="3:21" x14ac:dyDescent="0.25">
      <c r="C1580" s="1136"/>
      <c r="U1580" s="1087"/>
    </row>
    <row r="1581" spans="3:21" x14ac:dyDescent="0.25">
      <c r="C1581" s="1136"/>
      <c r="U1581" s="1087"/>
    </row>
    <row r="1582" spans="3:21" x14ac:dyDescent="0.25">
      <c r="C1582" s="1136"/>
      <c r="U1582" s="1087"/>
    </row>
    <row r="1583" spans="3:21" x14ac:dyDescent="0.25">
      <c r="C1583" s="1136"/>
      <c r="U1583" s="1087"/>
    </row>
    <row r="1584" spans="3:21" x14ac:dyDescent="0.25">
      <c r="C1584" s="1136"/>
      <c r="U1584" s="1087"/>
    </row>
    <row r="1585" spans="3:21" x14ac:dyDescent="0.25">
      <c r="C1585" s="1136"/>
      <c r="U1585" s="1087"/>
    </row>
    <row r="1586" spans="3:21" x14ac:dyDescent="0.25">
      <c r="C1586" s="1136"/>
      <c r="U1586" s="1087"/>
    </row>
    <row r="1587" spans="3:21" x14ac:dyDescent="0.25">
      <c r="U1587" s="1087"/>
    </row>
    <row r="1588" spans="3:21" x14ac:dyDescent="0.25">
      <c r="U1588" s="1087"/>
    </row>
    <row r="1589" spans="3:21" x14ac:dyDescent="0.25">
      <c r="U1589" s="1087"/>
    </row>
    <row r="1590" spans="3:21" x14ac:dyDescent="0.25">
      <c r="U1590" s="1087"/>
    </row>
    <row r="1591" spans="3:21" x14ac:dyDescent="0.25">
      <c r="U1591" s="1087"/>
    </row>
    <row r="1592" spans="3:21" x14ac:dyDescent="0.25">
      <c r="U1592" s="1087"/>
    </row>
    <row r="1593" spans="3:21" x14ac:dyDescent="0.25">
      <c r="U1593" s="1087"/>
    </row>
    <row r="1594" spans="3:21" x14ac:dyDescent="0.25">
      <c r="U1594" s="1087"/>
    </row>
    <row r="1595" spans="3:21" x14ac:dyDescent="0.25">
      <c r="U1595" s="1087"/>
    </row>
    <row r="1596" spans="3:21" x14ac:dyDescent="0.25">
      <c r="U1596" s="1087"/>
    </row>
    <row r="1597" spans="3:21" x14ac:dyDescent="0.25">
      <c r="U1597" s="1087"/>
    </row>
    <row r="1598" spans="3:21" x14ac:dyDescent="0.25">
      <c r="U1598" s="1087"/>
    </row>
    <row r="1599" spans="3:21" x14ac:dyDescent="0.25">
      <c r="U1599" s="1087"/>
    </row>
    <row r="1600" spans="3:21" x14ac:dyDescent="0.25">
      <c r="U1600" s="1087"/>
    </row>
    <row r="1601" spans="21:21" x14ac:dyDescent="0.25">
      <c r="U1601" s="1087"/>
    </row>
    <row r="1602" spans="21:21" x14ac:dyDescent="0.25">
      <c r="U1602" s="1087"/>
    </row>
    <row r="1603" spans="21:21" x14ac:dyDescent="0.25">
      <c r="U1603" s="1087"/>
    </row>
    <row r="1604" spans="21:21" x14ac:dyDescent="0.25">
      <c r="U1604" s="1087"/>
    </row>
    <row r="1605" spans="21:21" x14ac:dyDescent="0.25">
      <c r="U1605" s="1087"/>
    </row>
    <row r="1606" spans="21:21" x14ac:dyDescent="0.25">
      <c r="U1606" s="1087"/>
    </row>
    <row r="1607" spans="21:21" x14ac:dyDescent="0.25">
      <c r="U1607" s="1087"/>
    </row>
    <row r="1608" spans="21:21" x14ac:dyDescent="0.25">
      <c r="U1608" s="1087"/>
    </row>
    <row r="1609" spans="21:21" x14ac:dyDescent="0.25">
      <c r="U1609" s="1087"/>
    </row>
    <row r="1610" spans="21:21" x14ac:dyDescent="0.25">
      <c r="U1610" s="1087"/>
    </row>
  </sheetData>
  <mergeCells count="179">
    <mergeCell ref="V3:AD3"/>
    <mergeCell ref="V33:AD33"/>
    <mergeCell ref="U122:AF122"/>
    <mergeCell ref="T86:AG86"/>
    <mergeCell ref="T60:AG60"/>
    <mergeCell ref="T74:T80"/>
    <mergeCell ref="AF6:AG6"/>
    <mergeCell ref="T7:U7"/>
    <mergeCell ref="V7:W7"/>
    <mergeCell ref="V26:AD26"/>
    <mergeCell ref="T4:U4"/>
    <mergeCell ref="V4:W4"/>
    <mergeCell ref="Y4:Z4"/>
    <mergeCell ref="AA4:AB4"/>
    <mergeCell ref="AD4:AE4"/>
    <mergeCell ref="AF4:AG4"/>
    <mergeCell ref="T5:U5"/>
    <mergeCell ref="V5:W5"/>
    <mergeCell ref="Y5:Z5"/>
    <mergeCell ref="AA5:AB5"/>
    <mergeCell ref="AD5:AE5"/>
    <mergeCell ref="AF5:AG5"/>
    <mergeCell ref="AD6:AE6"/>
    <mergeCell ref="AF36:AG36"/>
    <mergeCell ref="E2:J2"/>
    <mergeCell ref="T100:T106"/>
    <mergeCell ref="B124:C124"/>
    <mergeCell ref="M24:N24"/>
    <mergeCell ref="M51:N51"/>
    <mergeCell ref="C78:H78"/>
    <mergeCell ref="P20:Q20"/>
    <mergeCell ref="P46:Q46"/>
    <mergeCell ref="N120:O120"/>
    <mergeCell ref="L121:O121"/>
    <mergeCell ref="B119:E119"/>
    <mergeCell ref="G119:J119"/>
    <mergeCell ref="G83:H83"/>
    <mergeCell ref="L83:M83"/>
    <mergeCell ref="B120:C120"/>
    <mergeCell ref="C121:D121"/>
    <mergeCell ref="I85:J85"/>
    <mergeCell ref="G85:H85"/>
    <mergeCell ref="B59:C59"/>
    <mergeCell ref="I120:J120"/>
    <mergeCell ref="B58:C58"/>
    <mergeCell ref="B56:C56"/>
    <mergeCell ref="B57:C57"/>
    <mergeCell ref="L82:O82"/>
    <mergeCell ref="L88:M88"/>
    <mergeCell ref="L86:O86"/>
    <mergeCell ref="G86:J86"/>
    <mergeCell ref="B87:C87"/>
    <mergeCell ref="B88:C88"/>
    <mergeCell ref="B83:C83"/>
    <mergeCell ref="B85:C85"/>
    <mergeCell ref="D87:E87"/>
    <mergeCell ref="D88:E88"/>
    <mergeCell ref="G88:H88"/>
    <mergeCell ref="I88:J88"/>
    <mergeCell ref="L61:O61"/>
    <mergeCell ref="E55:M55"/>
    <mergeCell ref="C114:D114"/>
    <mergeCell ref="C115:D115"/>
    <mergeCell ref="AE153:AF153"/>
    <mergeCell ref="M119:N119"/>
    <mergeCell ref="L120:M120"/>
    <mergeCell ref="M123:N123"/>
    <mergeCell ref="AE125:AG125"/>
    <mergeCell ref="L85:M85"/>
    <mergeCell ref="I58:J58"/>
    <mergeCell ref="H152:I152"/>
    <mergeCell ref="D120:E120"/>
    <mergeCell ref="B123:C123"/>
    <mergeCell ref="C147:D147"/>
    <mergeCell ref="C151:D151"/>
    <mergeCell ref="D81:M81"/>
    <mergeCell ref="B82:E82"/>
    <mergeCell ref="G82:J82"/>
    <mergeCell ref="N56:O56"/>
    <mergeCell ref="L57:M57"/>
    <mergeCell ref="B61:E61"/>
    <mergeCell ref="N85:O85"/>
    <mergeCell ref="N88:O88"/>
    <mergeCell ref="Z154:AA154"/>
    <mergeCell ref="G121:J121"/>
    <mergeCell ref="H114:I114"/>
    <mergeCell ref="M114:N114"/>
    <mergeCell ref="H115:I115"/>
    <mergeCell ref="M115:N115"/>
    <mergeCell ref="U125:V125"/>
    <mergeCell ref="Z125:AA125"/>
    <mergeCell ref="G89:H89"/>
    <mergeCell ref="I89:J89"/>
    <mergeCell ref="G120:H120"/>
    <mergeCell ref="H148:I148"/>
    <mergeCell ref="U142:V142"/>
    <mergeCell ref="Z142:AA142"/>
    <mergeCell ref="S139:AD139"/>
    <mergeCell ref="G124:H124"/>
    <mergeCell ref="C148:D148"/>
    <mergeCell ref="C152:D152"/>
    <mergeCell ref="B4:C4"/>
    <mergeCell ref="B5:C5"/>
    <mergeCell ref="D4:E4"/>
    <mergeCell ref="D5:E5"/>
    <mergeCell ref="B24:C24"/>
    <mergeCell ref="C51:D51"/>
    <mergeCell ref="H51:I51"/>
    <mergeCell ref="G24:H24"/>
    <mergeCell ref="D32:E32"/>
    <mergeCell ref="C6:D6"/>
    <mergeCell ref="H6:I6"/>
    <mergeCell ref="E28:J28"/>
    <mergeCell ref="D33:E33"/>
    <mergeCell ref="D31:E31"/>
    <mergeCell ref="I34:J34"/>
    <mergeCell ref="I33:J33"/>
    <mergeCell ref="I32:J32"/>
    <mergeCell ref="G61:J61"/>
    <mergeCell ref="AD36:AE36"/>
    <mergeCell ref="T36:U36"/>
    <mergeCell ref="V36:W36"/>
    <mergeCell ref="Y36:Z36"/>
    <mergeCell ref="AA36:AB36"/>
    <mergeCell ref="B161:C161"/>
    <mergeCell ref="L161:M161"/>
    <mergeCell ref="C156:D156"/>
    <mergeCell ref="C155:D155"/>
    <mergeCell ref="H147:I147"/>
    <mergeCell ref="I123:J123"/>
    <mergeCell ref="B122:C122"/>
    <mergeCell ref="D122:E122"/>
    <mergeCell ref="D123:E123"/>
    <mergeCell ref="G123:H123"/>
    <mergeCell ref="M147:N147"/>
    <mergeCell ref="H155:I155"/>
    <mergeCell ref="M156:N156"/>
    <mergeCell ref="M152:N152"/>
    <mergeCell ref="M148:N148"/>
    <mergeCell ref="H156:I156"/>
    <mergeCell ref="H151:I151"/>
    <mergeCell ref="M155:N155"/>
    <mergeCell ref="M151:N151"/>
    <mergeCell ref="T34:U34"/>
    <mergeCell ref="V34:W34"/>
    <mergeCell ref="Y34:Z34"/>
    <mergeCell ref="AA34:AB34"/>
    <mergeCell ref="AD34:AE34"/>
    <mergeCell ref="AF34:AG34"/>
    <mergeCell ref="T35:U35"/>
    <mergeCell ref="V35:W35"/>
    <mergeCell ref="Y35:Z35"/>
    <mergeCell ref="AA35:AB35"/>
    <mergeCell ref="AD35:AE35"/>
    <mergeCell ref="AF35:AG35"/>
    <mergeCell ref="T6:U6"/>
    <mergeCell ref="V6:W6"/>
    <mergeCell ref="Y6:Z6"/>
    <mergeCell ref="AA6:AB6"/>
    <mergeCell ref="D59:E59"/>
    <mergeCell ref="L56:M56"/>
    <mergeCell ref="N7:O7"/>
    <mergeCell ref="D56:E56"/>
    <mergeCell ref="D57:E57"/>
    <mergeCell ref="D58:E58"/>
    <mergeCell ref="G56:H56"/>
    <mergeCell ref="I56:J56"/>
    <mergeCell ref="G57:H57"/>
    <mergeCell ref="I57:J57"/>
    <mergeCell ref="G58:H58"/>
    <mergeCell ref="M6:N6"/>
    <mergeCell ref="N32:O32"/>
    <mergeCell ref="L58:M58"/>
    <mergeCell ref="N58:O58"/>
    <mergeCell ref="N33:O33"/>
    <mergeCell ref="N57:O57"/>
    <mergeCell ref="T37:U37"/>
    <mergeCell ref="V37:W37"/>
    <mergeCell ref="V56:AD56"/>
  </mergeCells>
  <conditionalFormatting sqref="D64:D75 I64:I75 N64:N75">
    <cfRule type="cellIs" dxfId="21" priority="20" operator="greaterThan">
      <formula>0</formula>
    </cfRule>
    <cfRule type="cellIs" dxfId="20" priority="21" operator="greaterThan">
      <formula>0</formula>
    </cfRule>
  </conditionalFormatting>
  <conditionalFormatting sqref="D66:D75">
    <cfRule type="cellIs" dxfId="19" priority="19" operator="greaterThan">
      <formula>0</formula>
    </cfRule>
  </conditionalFormatting>
  <conditionalFormatting sqref="AA12:AA22 AF12:AF22 V12:V22">
    <cfRule type="cellIs" dxfId="18" priority="17" operator="greaterThan">
      <formula>0</formula>
    </cfRule>
    <cfRule type="cellIs" dxfId="17" priority="18" operator="greaterThan">
      <formula>0</formula>
    </cfRule>
  </conditionalFormatting>
  <conditionalFormatting sqref="V14:V22">
    <cfRule type="cellIs" dxfId="16" priority="16" operator="greaterThan">
      <formula>0</formula>
    </cfRule>
  </conditionalFormatting>
  <conditionalFormatting sqref="V44:V52">
    <cfRule type="cellIs" dxfId="15" priority="13" operator="greaterThan">
      <formula>0</formula>
    </cfRule>
  </conditionalFormatting>
  <conditionalFormatting sqref="V42:V52 AA42:AA52 AF42:AF52">
    <cfRule type="cellIs" dxfId="14" priority="14" operator="greaterThan">
      <formula>0</formula>
    </cfRule>
    <cfRule type="cellIs" dxfId="13" priority="15" operator="greaterThan">
      <formula>0</formula>
    </cfRule>
  </conditionalFormatting>
  <conditionalFormatting sqref="V64:V74">
    <cfRule type="colorScale" priority="9">
      <colorScale>
        <cfvo type="num" val="0"/>
        <cfvo type="num" val="&quot;&gt;0&quot;"/>
        <color theme="0"/>
        <color rgb="FFFFC000"/>
      </colorScale>
    </cfRule>
    <cfRule type="cellIs" dxfId="12" priority="10" operator="greaterThan">
      <formula>0</formula>
    </cfRule>
    <cfRule type="cellIs" dxfId="11" priority="11" operator="greaterThan">
      <formula>"&gt;0"</formula>
    </cfRule>
    <cfRule type="colorScale" priority="12">
      <colorScale>
        <cfvo type="num" val="&quot;&gt;0&quot;"/>
        <cfvo type="max"/>
        <color rgb="FFFF7128"/>
        <color rgb="FFFFEF9C"/>
      </colorScale>
    </cfRule>
  </conditionalFormatting>
  <conditionalFormatting sqref="AA74">
    <cfRule type="colorScale" priority="5">
      <colorScale>
        <cfvo type="num" val="0"/>
        <cfvo type="num" val="&quot;&gt;0&quot;"/>
        <color theme="0"/>
        <color rgb="FFFFC000"/>
      </colorScale>
    </cfRule>
    <cfRule type="cellIs" dxfId="10" priority="6" operator="greaterThan">
      <formula>0</formula>
    </cfRule>
    <cfRule type="cellIs" dxfId="9" priority="7" operator="greaterThan">
      <formula>"&gt;0"</formula>
    </cfRule>
    <cfRule type="colorScale" priority="8">
      <colorScale>
        <cfvo type="num" val="&quot;&gt;0&quot;"/>
        <cfvo type="max"/>
        <color rgb="FFFF7128"/>
        <color rgb="FFFFEF9C"/>
      </colorScale>
    </cfRule>
  </conditionalFormatting>
  <conditionalFormatting sqref="AF74">
    <cfRule type="colorScale" priority="1">
      <colorScale>
        <cfvo type="num" val="0"/>
        <cfvo type="num" val="&quot;&gt;0&quot;"/>
        <color theme="0"/>
        <color rgb="FFFFC000"/>
      </colorScale>
    </cfRule>
    <cfRule type="cellIs" dxfId="8" priority="2" operator="greaterThan">
      <formula>0</formula>
    </cfRule>
    <cfRule type="cellIs" dxfId="7" priority="3" operator="greaterThan">
      <formula>"&gt;0"</formula>
    </cfRule>
    <cfRule type="colorScale" priority="4">
      <colorScale>
        <cfvo type="num" val="&quot;&gt;0&quot;"/>
        <cfvo type="max"/>
        <color rgb="FFFF7128"/>
        <color rgb="FFFFEF9C"/>
      </colorScale>
    </cfRule>
  </conditionalFormatting>
  <dataValidations disablePrompts="1" count="1">
    <dataValidation type="list" allowBlank="1" showInputMessage="1" showErrorMessage="1" sqref="Q10">
      <formula1>paiementnouv</formula1>
    </dataValidation>
  </dataValidations>
  <pageMargins left="0.25" right="0.25" top="0.75" bottom="0.75" header="0.3" footer="0.3"/>
  <pageSetup paperSize="9" orientation="portrait" r:id="rId1"/>
  <cellWatches>
    <cellWatch r="C126"/>
    <cellWatch r="C127"/>
    <cellWatch r="C128"/>
    <cellWatch r="C129"/>
    <cellWatch r="C130"/>
    <cellWatch r="C131"/>
    <cellWatch r="C132"/>
    <cellWatch r="C133"/>
    <cellWatch r="C134"/>
    <cellWatch r="C135"/>
    <cellWatch r="C136"/>
    <cellWatch r="C138"/>
    <cellWatch r="C139"/>
    <cellWatch r="C140"/>
    <cellWatch r="C141"/>
    <cellWatch r="C142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L130"/>
  <sheetViews>
    <sheetView view="pageLayout" topLeftCell="A29" zoomScaleNormal="100" workbookViewId="0">
      <selection activeCell="I36" sqref="I36"/>
    </sheetView>
  </sheetViews>
  <sheetFormatPr baseColWidth="10" defaultColWidth="11.109375" defaultRowHeight="17.399999999999999" x14ac:dyDescent="0.3"/>
  <cols>
    <col min="1" max="1" width="2.5546875" style="141" customWidth="1"/>
    <col min="2" max="2" width="11.44140625" style="141" customWidth="1"/>
    <col min="3" max="3" width="5.33203125" style="141" customWidth="1"/>
    <col min="4" max="4" width="14.33203125" style="141" customWidth="1"/>
    <col min="5" max="5" width="20.77734375" style="141" customWidth="1"/>
    <col min="6" max="6" width="21" style="141" customWidth="1"/>
    <col min="7" max="7" width="7.6640625" style="141" customWidth="1"/>
    <col min="8" max="8" width="5.5546875" style="36" customWidth="1"/>
    <col min="9" max="9" width="15.44140625" style="458" customWidth="1"/>
    <col min="10" max="10" width="14.33203125" style="458" customWidth="1"/>
    <col min="11" max="11" width="4.109375" style="141" customWidth="1"/>
    <col min="12" max="12" width="3.6640625" style="141" customWidth="1"/>
    <col min="13" max="16384" width="11.109375" style="141"/>
  </cols>
  <sheetData>
    <row r="1" spans="1:12" x14ac:dyDescent="0.3">
      <c r="A1" s="2928"/>
      <c r="B1" s="2928"/>
      <c r="C1" s="2928"/>
      <c r="D1" s="2928"/>
      <c r="E1" s="2928"/>
      <c r="F1" s="2928"/>
      <c r="G1" s="2928"/>
      <c r="H1" s="2929"/>
      <c r="I1" s="2930"/>
      <c r="J1" s="2930"/>
      <c r="K1" s="2928"/>
      <c r="L1" s="2928"/>
    </row>
    <row r="2" spans="1:12" ht="16.95" customHeight="1" x14ac:dyDescent="0.25">
      <c r="A2" s="2928"/>
      <c r="B2" s="4142" t="s">
        <v>1557</v>
      </c>
      <c r="C2" s="4142"/>
      <c r="D2" s="4142"/>
      <c r="E2" s="4142"/>
      <c r="F2" s="4142"/>
      <c r="G2" s="4142"/>
      <c r="H2" s="4142"/>
      <c r="I2" s="4142"/>
      <c r="J2" s="4142"/>
      <c r="K2" s="4142"/>
      <c r="L2" s="4142"/>
    </row>
    <row r="3" spans="1:12" ht="16.95" customHeight="1" thickBot="1" x14ac:dyDescent="0.35">
      <c r="A3" s="2928"/>
      <c r="B3" s="4139" t="s">
        <v>1556</v>
      </c>
      <c r="C3" s="4140"/>
      <c r="D3" s="4140"/>
      <c r="E3" s="4140"/>
      <c r="F3" s="4141"/>
      <c r="G3" s="2931" t="s">
        <v>5</v>
      </c>
      <c r="H3" s="2932"/>
      <c r="I3" s="2933" t="s">
        <v>1614</v>
      </c>
      <c r="J3" s="2934" t="s">
        <v>1497</v>
      </c>
      <c r="K3" s="2928"/>
      <c r="L3" s="2928"/>
    </row>
    <row r="4" spans="1:12" ht="16.95" customHeight="1" x14ac:dyDescent="0.3">
      <c r="A4" s="2928"/>
      <c r="B4" s="2935" t="s">
        <v>1555</v>
      </c>
      <c r="C4" s="2936"/>
      <c r="D4" s="2937"/>
      <c r="E4" s="4148" t="s">
        <v>1554</v>
      </c>
      <c r="F4" s="4149"/>
      <c r="G4" s="2938" t="s">
        <v>1553</v>
      </c>
      <c r="H4" s="2939"/>
      <c r="I4" s="2940">
        <f>SUM(I5,I7,I9,I22)</f>
        <v>92500</v>
      </c>
      <c r="J4" s="2941">
        <f>SUM(J5+J7+J9+J22)</f>
        <v>92500</v>
      </c>
      <c r="K4" s="2928"/>
      <c r="L4" s="2928"/>
    </row>
    <row r="5" spans="1:12" ht="16.95" customHeight="1" x14ac:dyDescent="0.3">
      <c r="A5" s="2928"/>
      <c r="B5" s="2942" t="s">
        <v>1552</v>
      </c>
      <c r="C5" s="2943"/>
      <c r="D5" s="2943"/>
      <c r="E5" s="2944"/>
      <c r="F5" s="2944"/>
      <c r="G5" s="2945">
        <v>20</v>
      </c>
      <c r="H5" s="2946" t="s">
        <v>1704</v>
      </c>
      <c r="I5" s="3153">
        <f>SUM(I6)</f>
        <v>0</v>
      </c>
      <c r="J5" s="2947"/>
      <c r="K5" s="2928"/>
      <c r="L5" s="2928"/>
    </row>
    <row r="6" spans="1:12" ht="16.95" customHeight="1" thickBot="1" x14ac:dyDescent="0.35">
      <c r="A6" s="2928"/>
      <c r="B6" s="2948"/>
      <c r="C6" s="2949"/>
      <c r="D6" s="2949"/>
      <c r="E6" s="2950"/>
      <c r="F6" s="2950" t="s">
        <v>2344</v>
      </c>
      <c r="G6" s="2951"/>
      <c r="H6" s="2952"/>
      <c r="I6" s="2953"/>
      <c r="J6" s="2954"/>
      <c r="K6" s="2928"/>
      <c r="L6" s="2928"/>
    </row>
    <row r="7" spans="1:12" ht="16.95" customHeight="1" x14ac:dyDescent="0.3">
      <c r="A7" s="2928"/>
      <c r="B7" s="2942" t="s">
        <v>1551</v>
      </c>
      <c r="C7" s="2943"/>
      <c r="D7" s="2943"/>
      <c r="E7" s="2944"/>
      <c r="F7" s="2928"/>
      <c r="G7" s="2945">
        <v>21</v>
      </c>
      <c r="H7" s="2955" t="s">
        <v>2233</v>
      </c>
      <c r="I7" s="3027">
        <f>SUM(I8)</f>
        <v>75000</v>
      </c>
      <c r="J7" s="2956">
        <f>SUM(J8)</f>
        <v>75000</v>
      </c>
      <c r="K7" s="2928"/>
      <c r="L7" s="2928"/>
    </row>
    <row r="8" spans="1:12" ht="16.95" customHeight="1" thickBot="1" x14ac:dyDescent="0.35">
      <c r="A8" s="2928"/>
      <c r="B8" s="2957"/>
      <c r="C8" s="2958"/>
      <c r="D8" s="2958"/>
      <c r="E8" s="2959"/>
      <c r="F8" s="3227" t="s">
        <v>2163</v>
      </c>
      <c r="G8" s="2960"/>
      <c r="H8" s="2961"/>
      <c r="I8" s="2962">
        <f>'VAL-INIT'!F12</f>
        <v>75000</v>
      </c>
      <c r="J8" s="2963">
        <f>'Gr liv ACT-PAS'!C10</f>
        <v>75000</v>
      </c>
      <c r="K8" s="2928"/>
      <c r="L8" s="2928"/>
    </row>
    <row r="9" spans="1:12" ht="16.95" customHeight="1" x14ac:dyDescent="0.3">
      <c r="A9" s="2928"/>
      <c r="B9" s="2942" t="s">
        <v>1550</v>
      </c>
      <c r="C9" s="2943"/>
      <c r="D9" s="2943"/>
      <c r="E9" s="2944"/>
      <c r="F9" s="2944"/>
      <c r="G9" s="2945" t="s">
        <v>1549</v>
      </c>
      <c r="H9" s="2946" t="s">
        <v>1695</v>
      </c>
      <c r="I9" s="3228">
        <f>SUM(I10,I13,I16,I19,I20,I21)</f>
        <v>17500</v>
      </c>
      <c r="J9" s="3229">
        <f>SUM(J10,J13,J16,J19,J20,J21)</f>
        <v>17500</v>
      </c>
      <c r="K9" s="2928" t="s">
        <v>2275</v>
      </c>
      <c r="L9" s="2928" t="s">
        <v>203</v>
      </c>
    </row>
    <row r="10" spans="1:12" ht="16.95" customHeight="1" x14ac:dyDescent="0.3">
      <c r="A10" s="2928"/>
      <c r="B10" s="2964" t="s">
        <v>1460</v>
      </c>
      <c r="C10" s="4124" t="s">
        <v>1548</v>
      </c>
      <c r="D10" s="4124"/>
      <c r="E10" s="2944"/>
      <c r="F10" s="2944"/>
      <c r="G10" s="2945">
        <v>22</v>
      </c>
      <c r="H10" s="2955"/>
      <c r="I10" s="3212">
        <f>SUM(I11)</f>
        <v>0</v>
      </c>
      <c r="J10" s="3213">
        <f>SUM(J11:J12)</f>
        <v>0</v>
      </c>
      <c r="K10" s="2966"/>
      <c r="L10" s="2928"/>
    </row>
    <row r="11" spans="1:12" ht="16.95" customHeight="1" x14ac:dyDescent="0.3">
      <c r="A11" s="2928"/>
      <c r="B11" s="2964"/>
      <c r="C11" s="2967"/>
      <c r="D11" s="2967"/>
      <c r="E11" s="2944"/>
      <c r="F11" s="2944" t="s">
        <v>2333</v>
      </c>
      <c r="G11" s="2945"/>
      <c r="H11" s="2946"/>
      <c r="I11" s="2968">
        <f>'VAL-INIT'!F13</f>
        <v>0</v>
      </c>
      <c r="J11" s="2969">
        <f>'Gr liv ACT-PAS'!C20</f>
        <v>0</v>
      </c>
      <c r="K11" s="2970"/>
      <c r="L11" s="2928"/>
    </row>
    <row r="12" spans="1:12" ht="16.95" customHeight="1" x14ac:dyDescent="0.3">
      <c r="A12" s="2928"/>
      <c r="B12" s="2964"/>
      <c r="C12" s="2928"/>
      <c r="D12" s="2967"/>
      <c r="E12" s="2944"/>
      <c r="F12" s="2928"/>
      <c r="G12" s="2945"/>
      <c r="H12" s="2955"/>
      <c r="I12" s="2930"/>
      <c r="J12" s="2971"/>
      <c r="K12" s="2970" t="s">
        <v>2275</v>
      </c>
      <c r="L12" s="2928" t="s">
        <v>203</v>
      </c>
    </row>
    <row r="13" spans="1:12" ht="16.95" customHeight="1" x14ac:dyDescent="0.3">
      <c r="A13" s="2928"/>
      <c r="B13" s="2964" t="s">
        <v>1458</v>
      </c>
      <c r="C13" s="4125" t="s">
        <v>1547</v>
      </c>
      <c r="D13" s="4125"/>
      <c r="E13" s="4125"/>
      <c r="F13" s="2928"/>
      <c r="G13" s="2945">
        <v>23</v>
      </c>
      <c r="H13" s="2955"/>
      <c r="I13" s="2965">
        <f>SUM(I14,I15)</f>
        <v>12500</v>
      </c>
      <c r="J13" s="2965">
        <f>SUM(J14,J15)</f>
        <v>12500</v>
      </c>
      <c r="K13" s="2970"/>
      <c r="L13" s="2966"/>
    </row>
    <row r="14" spans="1:12" ht="16.95" customHeight="1" x14ac:dyDescent="0.3">
      <c r="A14" s="2928"/>
      <c r="B14" s="2964"/>
      <c r="C14" s="2972"/>
      <c r="D14" s="2972"/>
      <c r="E14" s="2972"/>
      <c r="F14" s="2973" t="s">
        <v>166</v>
      </c>
      <c r="G14" s="2945"/>
      <c r="H14" s="2946"/>
      <c r="I14" s="2974">
        <f>'VAL-INIT'!F17</f>
        <v>12500</v>
      </c>
      <c r="J14" s="2975">
        <f>'Gr liv ACT-PAS'!C41</f>
        <v>12500</v>
      </c>
      <c r="K14" s="2970"/>
      <c r="L14" s="2966"/>
    </row>
    <row r="15" spans="1:12" ht="16.95" customHeight="1" x14ac:dyDescent="0.3">
      <c r="A15" s="2928"/>
      <c r="B15" s="2964"/>
      <c r="C15" s="2972"/>
      <c r="D15" s="2972"/>
      <c r="E15" s="2972"/>
      <c r="F15" s="2973" t="s">
        <v>14</v>
      </c>
      <c r="G15" s="2945"/>
      <c r="H15" s="2946"/>
      <c r="I15" s="2974">
        <f>'VAL-INIT'!F19</f>
        <v>0</v>
      </c>
      <c r="J15" s="2971">
        <f>'Gr liv ACT-PAS'!C53</f>
        <v>0</v>
      </c>
      <c r="K15" s="2928"/>
      <c r="L15" s="2928"/>
    </row>
    <row r="16" spans="1:12" ht="16.95" customHeight="1" x14ac:dyDescent="0.3">
      <c r="A16" s="2928"/>
      <c r="B16" s="2964" t="s">
        <v>1453</v>
      </c>
      <c r="C16" s="4125" t="s">
        <v>1546</v>
      </c>
      <c r="D16" s="4125"/>
      <c r="E16" s="4125"/>
      <c r="F16" s="2928"/>
      <c r="G16" s="2945">
        <v>24</v>
      </c>
      <c r="H16" s="2955"/>
      <c r="I16" s="2965">
        <f>SUM(I17,I18)</f>
        <v>5000</v>
      </c>
      <c r="J16" s="2975">
        <f>SUM(J17,J18)</f>
        <v>5000</v>
      </c>
      <c r="K16" s="2928"/>
      <c r="L16" s="2928"/>
    </row>
    <row r="17" spans="1:12" ht="16.95" customHeight="1" x14ac:dyDescent="0.3">
      <c r="A17" s="2928"/>
      <c r="B17" s="2964"/>
      <c r="C17" s="2972"/>
      <c r="D17" s="2972"/>
      <c r="E17" s="2972"/>
      <c r="F17" s="2973" t="s">
        <v>167</v>
      </c>
      <c r="G17" s="2945"/>
      <c r="H17" s="2946"/>
      <c r="I17" s="2976">
        <f>'VAL-INIT'!F23</f>
        <v>5000</v>
      </c>
      <c r="J17" s="2971">
        <f>'Gr liv ACT-PAS'!C62</f>
        <v>5000</v>
      </c>
      <c r="K17" s="2928"/>
      <c r="L17" s="2928"/>
    </row>
    <row r="18" spans="1:12" ht="16.95" customHeight="1" x14ac:dyDescent="0.3">
      <c r="A18" s="2928"/>
      <c r="B18" s="2964"/>
      <c r="C18" s="2972"/>
      <c r="D18" s="2977" t="s">
        <v>1998</v>
      </c>
      <c r="E18" s="2972"/>
      <c r="F18" s="2973"/>
      <c r="G18" s="2945"/>
      <c r="H18" s="2946"/>
      <c r="I18" s="2968">
        <f>'VAL-INIT'!F24</f>
        <v>0</v>
      </c>
      <c r="J18" s="2971">
        <f>'Gr liv ACT-PAS'!C76</f>
        <v>0</v>
      </c>
      <c r="K18" s="2928"/>
      <c r="L18" s="2928"/>
    </row>
    <row r="19" spans="1:12" ht="16.95" customHeight="1" x14ac:dyDescent="0.3">
      <c r="A19" s="2928"/>
      <c r="B19" s="2964" t="s">
        <v>1449</v>
      </c>
      <c r="C19" s="2943" t="s">
        <v>1545</v>
      </c>
      <c r="D19" s="2943"/>
      <c r="E19" s="2943"/>
      <c r="F19" s="2944"/>
      <c r="G19" s="2945">
        <v>25</v>
      </c>
      <c r="H19" s="2946"/>
      <c r="I19" s="2978">
        <f>'VAL-INIT'!F27</f>
        <v>0</v>
      </c>
      <c r="J19" s="2969"/>
      <c r="K19" s="2928" t="s">
        <v>2275</v>
      </c>
      <c r="L19" s="2928" t="s">
        <v>203</v>
      </c>
    </row>
    <row r="20" spans="1:12" s="188" customFormat="1" ht="16.95" customHeight="1" x14ac:dyDescent="0.3">
      <c r="A20" s="2979"/>
      <c r="B20" s="2964" t="s">
        <v>1447</v>
      </c>
      <c r="C20" s="4125" t="s">
        <v>1544</v>
      </c>
      <c r="D20" s="4125"/>
      <c r="E20" s="4125"/>
      <c r="F20" s="2944"/>
      <c r="G20" s="2945">
        <v>26</v>
      </c>
      <c r="H20" s="2946"/>
      <c r="I20" s="2978">
        <f>'VAL-INIT'!F30</f>
        <v>0</v>
      </c>
      <c r="J20" s="2969"/>
      <c r="K20" s="2928"/>
      <c r="L20" s="2928"/>
    </row>
    <row r="21" spans="1:12" ht="16.95" customHeight="1" thickBot="1" x14ac:dyDescent="0.35">
      <c r="A21" s="2928"/>
      <c r="B21" s="2980" t="s">
        <v>1439</v>
      </c>
      <c r="C21" s="4132" t="s">
        <v>1543</v>
      </c>
      <c r="D21" s="4132"/>
      <c r="E21" s="4132"/>
      <c r="F21" s="4132"/>
      <c r="G21" s="2960">
        <v>27</v>
      </c>
      <c r="H21" s="2961"/>
      <c r="I21" s="2981">
        <f>'VAL-INIT'!F30</f>
        <v>0</v>
      </c>
      <c r="J21" s="2982"/>
      <c r="K21" s="2983"/>
      <c r="L21" s="2979"/>
    </row>
    <row r="22" spans="1:12" ht="16.95" customHeight="1" thickBot="1" x14ac:dyDescent="0.35">
      <c r="A22" s="2928"/>
      <c r="B22" s="4133" t="s">
        <v>1542</v>
      </c>
      <c r="C22" s="4125"/>
      <c r="D22" s="4125"/>
      <c r="E22" s="4125"/>
      <c r="F22" s="2944"/>
      <c r="G22" s="2945">
        <v>28</v>
      </c>
      <c r="H22" s="2946" t="s">
        <v>2237</v>
      </c>
      <c r="I22" s="2984">
        <f>SUM(I29+I26+I23)</f>
        <v>0</v>
      </c>
      <c r="J22" s="2985">
        <f>SUM(J29+J26+J23)</f>
        <v>0</v>
      </c>
      <c r="K22" s="2928"/>
      <c r="L22" s="2928"/>
    </row>
    <row r="23" spans="1:12" ht="16.95" customHeight="1" x14ac:dyDescent="0.3">
      <c r="A23" s="2928"/>
      <c r="B23" s="2986" t="s">
        <v>1460</v>
      </c>
      <c r="C23" s="4125" t="s">
        <v>1541</v>
      </c>
      <c r="D23" s="4125"/>
      <c r="E23" s="2944"/>
      <c r="F23" s="2944"/>
      <c r="G23" s="2987" t="s">
        <v>1540</v>
      </c>
      <c r="H23" s="2988"/>
      <c r="I23" s="2989">
        <f>SUM(I24:I25)</f>
        <v>0</v>
      </c>
      <c r="J23" s="2990">
        <f>SUM(J24:J25)</f>
        <v>0</v>
      </c>
      <c r="K23" s="2928"/>
      <c r="L23" s="2928"/>
    </row>
    <row r="24" spans="1:12" ht="16.95" customHeight="1" x14ac:dyDescent="0.3">
      <c r="A24" s="2928"/>
      <c r="B24" s="2991"/>
      <c r="C24" s="2972" t="s">
        <v>1445</v>
      </c>
      <c r="D24" s="4125" t="s">
        <v>1537</v>
      </c>
      <c r="E24" s="4125"/>
      <c r="F24" s="2944"/>
      <c r="G24" s="2945">
        <v>280</v>
      </c>
      <c r="H24" s="2992"/>
      <c r="I24" s="2993"/>
      <c r="J24" s="2994"/>
      <c r="K24" s="2928"/>
      <c r="L24" s="2928"/>
    </row>
    <row r="25" spans="1:12" ht="16.95" customHeight="1" thickBot="1" x14ac:dyDescent="0.35">
      <c r="A25" s="2928"/>
      <c r="B25" s="2991"/>
      <c r="C25" s="2972" t="s">
        <v>1442</v>
      </c>
      <c r="D25" s="2944" t="s">
        <v>1536</v>
      </c>
      <c r="E25" s="2979"/>
      <c r="F25" s="2979"/>
      <c r="G25" s="2945">
        <v>281</v>
      </c>
      <c r="H25" s="2992"/>
      <c r="I25" s="2995"/>
      <c r="J25" s="2996"/>
      <c r="K25" s="2928"/>
      <c r="L25" s="2928"/>
    </row>
    <row r="26" spans="1:12" ht="16.95" customHeight="1" x14ac:dyDescent="0.3">
      <c r="A26" s="2928"/>
      <c r="B26" s="2997" t="s">
        <v>1458</v>
      </c>
      <c r="C26" s="4147" t="s">
        <v>1539</v>
      </c>
      <c r="D26" s="4147"/>
      <c r="E26" s="4147"/>
      <c r="F26" s="2972"/>
      <c r="G26" s="2945" t="s">
        <v>1538</v>
      </c>
      <c r="H26" s="2955"/>
      <c r="I26" s="2989">
        <f>SUM(I27:I28)</f>
        <v>0</v>
      </c>
      <c r="J26" s="2998">
        <f>SUM(J27:J28)</f>
        <v>0</v>
      </c>
      <c r="K26" s="2928"/>
      <c r="L26" s="2928"/>
    </row>
    <row r="27" spans="1:12" ht="16.95" customHeight="1" x14ac:dyDescent="0.3">
      <c r="A27" s="2928"/>
      <c r="B27" s="2991"/>
      <c r="C27" s="2972" t="s">
        <v>1445</v>
      </c>
      <c r="D27" s="4125" t="s">
        <v>1537</v>
      </c>
      <c r="E27" s="4125"/>
      <c r="F27" s="2944"/>
      <c r="G27" s="2945">
        <v>282</v>
      </c>
      <c r="H27" s="2992"/>
      <c r="I27" s="2999"/>
      <c r="J27" s="3000"/>
      <c r="K27" s="2928"/>
      <c r="L27" s="2928"/>
    </row>
    <row r="28" spans="1:12" ht="16.95" customHeight="1" thickBot="1" x14ac:dyDescent="0.35">
      <c r="A28" s="2928"/>
      <c r="B28" s="2991"/>
      <c r="C28" s="2972" t="s">
        <v>1442</v>
      </c>
      <c r="D28" s="2944" t="s">
        <v>1536</v>
      </c>
      <c r="E28" s="4130"/>
      <c r="F28" s="4131"/>
      <c r="G28" s="2945">
        <v>283</v>
      </c>
      <c r="H28" s="2992"/>
      <c r="I28" s="2999"/>
      <c r="J28" s="3001"/>
      <c r="K28" s="2928"/>
      <c r="L28" s="2928"/>
    </row>
    <row r="29" spans="1:12" ht="16.95" customHeight="1" x14ac:dyDescent="0.3">
      <c r="A29" s="2928"/>
      <c r="B29" s="2964" t="s">
        <v>1453</v>
      </c>
      <c r="C29" s="4124" t="s">
        <v>1535</v>
      </c>
      <c r="D29" s="4124"/>
      <c r="E29" s="4124"/>
      <c r="F29" s="2944"/>
      <c r="G29" s="2945" t="s">
        <v>1534</v>
      </c>
      <c r="H29" s="2955"/>
      <c r="I29" s="2989">
        <f>SUM(I30:I31)</f>
        <v>0</v>
      </c>
      <c r="J29" s="3002">
        <f>SUM(J30:J31)</f>
        <v>0</v>
      </c>
      <c r="K29" s="2928"/>
      <c r="L29" s="2928" t="s">
        <v>366</v>
      </c>
    </row>
    <row r="30" spans="1:12" ht="16.95" customHeight="1" x14ac:dyDescent="0.3">
      <c r="A30" s="2928"/>
      <c r="B30" s="2991"/>
      <c r="C30" s="3003" t="s">
        <v>1445</v>
      </c>
      <c r="D30" s="4125" t="s">
        <v>1533</v>
      </c>
      <c r="E30" s="4125"/>
      <c r="F30" s="2944"/>
      <c r="G30" s="2945">
        <v>284</v>
      </c>
      <c r="H30" s="2955"/>
      <c r="I30" s="3004"/>
      <c r="J30" s="3005"/>
      <c r="K30" s="2928"/>
      <c r="L30" s="2928"/>
    </row>
    <row r="31" spans="1:12" ht="16.95" customHeight="1" thickBot="1" x14ac:dyDescent="0.35">
      <c r="A31" s="2928"/>
      <c r="B31" s="3006"/>
      <c r="C31" s="3007" t="s">
        <v>1442</v>
      </c>
      <c r="D31" s="4146" t="s">
        <v>1532</v>
      </c>
      <c r="E31" s="4146"/>
      <c r="F31" s="4146"/>
      <c r="G31" s="3008" t="s">
        <v>1531</v>
      </c>
      <c r="H31" s="3009"/>
      <c r="I31" s="3010"/>
      <c r="J31" s="3011"/>
      <c r="K31" s="2928"/>
      <c r="L31" s="2928"/>
    </row>
    <row r="32" spans="1:12" ht="16.95" customHeight="1" x14ac:dyDescent="0.3">
      <c r="A32" s="2928"/>
      <c r="B32" s="4117" t="s">
        <v>1530</v>
      </c>
      <c r="C32" s="4118"/>
      <c r="D32" s="4122" t="s">
        <v>1529</v>
      </c>
      <c r="E32" s="4122"/>
      <c r="F32" s="4145"/>
      <c r="G32" s="3012" t="s">
        <v>1528</v>
      </c>
      <c r="H32" s="3013"/>
      <c r="I32" s="3014">
        <f>SUM(I34+I39+I49+I54+I57)</f>
        <v>51850</v>
      </c>
      <c r="J32" s="3015">
        <f>SUM(J34,J39,J49,J54,J57,J62)</f>
        <v>46960</v>
      </c>
      <c r="K32" s="2928"/>
      <c r="L32" s="2928"/>
    </row>
    <row r="33" spans="1:12" ht="16.95" customHeight="1" thickBot="1" x14ac:dyDescent="0.35">
      <c r="A33" s="3016"/>
      <c r="B33" s="3017"/>
      <c r="C33" s="3016"/>
      <c r="D33" s="3016"/>
      <c r="E33" s="3016"/>
      <c r="F33" s="3016"/>
      <c r="G33" s="3018"/>
      <c r="H33" s="3019"/>
      <c r="I33" s="3020"/>
      <c r="J33" s="3021"/>
      <c r="K33" s="2928"/>
      <c r="L33" s="2928"/>
    </row>
    <row r="34" spans="1:12" ht="16.95" customHeight="1" thickTop="1" x14ac:dyDescent="0.3">
      <c r="A34" s="2928"/>
      <c r="B34" s="4117" t="s">
        <v>1527</v>
      </c>
      <c r="C34" s="4118"/>
      <c r="D34" s="4118"/>
      <c r="E34" s="3022"/>
      <c r="F34" s="3022"/>
      <c r="G34" s="3012">
        <v>29</v>
      </c>
      <c r="H34" s="2946" t="s">
        <v>1705</v>
      </c>
      <c r="I34" s="3023">
        <f>SUM(I35,I37)</f>
        <v>0</v>
      </c>
      <c r="J34" s="3024">
        <f>SUM(J36:J37)</f>
        <v>0</v>
      </c>
      <c r="K34" s="2928"/>
      <c r="L34" s="2928"/>
    </row>
    <row r="35" spans="1:12" ht="16.95" customHeight="1" x14ac:dyDescent="0.3">
      <c r="A35" s="2928"/>
      <c r="B35" s="3025" t="s">
        <v>1460</v>
      </c>
      <c r="C35" s="4115" t="s">
        <v>1514</v>
      </c>
      <c r="D35" s="4115"/>
      <c r="E35" s="3026" t="s">
        <v>2334</v>
      </c>
      <c r="F35" s="2928"/>
      <c r="G35" s="3012">
        <v>290</v>
      </c>
      <c r="H35" s="2955"/>
      <c r="I35" s="2965">
        <f>SUM(I36)</f>
        <v>0</v>
      </c>
      <c r="J35" s="3027">
        <f>SUM(J36)</f>
        <v>0</v>
      </c>
      <c r="K35" s="2928"/>
      <c r="L35" s="2928"/>
    </row>
    <row r="36" spans="1:12" ht="16.95" customHeight="1" x14ac:dyDescent="0.3">
      <c r="A36" s="2928"/>
      <c r="B36" s="3025"/>
      <c r="C36" s="2977"/>
      <c r="D36" s="2977"/>
      <c r="E36" s="3022"/>
      <c r="F36" s="3028" t="s">
        <v>2334</v>
      </c>
      <c r="G36" s="3012"/>
      <c r="H36" s="2955"/>
      <c r="I36" s="3029">
        <f>'VAL-INIT'!F50</f>
        <v>0</v>
      </c>
      <c r="J36" s="3030">
        <f>'CLIENTS(400-290)'!Q49</f>
        <v>0</v>
      </c>
      <c r="K36" s="2928"/>
      <c r="L36" s="2928"/>
    </row>
    <row r="37" spans="1:12" ht="16.95" customHeight="1" thickBot="1" x14ac:dyDescent="0.35">
      <c r="A37" s="2928"/>
      <c r="B37" s="3025" t="s">
        <v>1458</v>
      </c>
      <c r="C37" s="4115" t="s">
        <v>1513</v>
      </c>
      <c r="D37" s="4115"/>
      <c r="E37" s="3022"/>
      <c r="F37" s="3022"/>
      <c r="G37" s="3012">
        <v>291</v>
      </c>
      <c r="H37" s="2946"/>
      <c r="I37" s="3031">
        <f>SUM(I38)</f>
        <v>0</v>
      </c>
      <c r="J37" s="3032"/>
      <c r="K37" s="2928"/>
      <c r="L37" s="2928"/>
    </row>
    <row r="38" spans="1:12" ht="16.95" customHeight="1" thickBot="1" x14ac:dyDescent="0.35">
      <c r="A38" s="2928"/>
      <c r="B38" s="3033"/>
      <c r="C38" s="3034"/>
      <c r="D38" s="3034"/>
      <c r="E38" s="3035"/>
      <c r="F38" s="3036" t="s">
        <v>2248</v>
      </c>
      <c r="G38" s="3037"/>
      <c r="H38" s="2961"/>
      <c r="I38" s="3038"/>
      <c r="J38" s="3039"/>
      <c r="K38" s="2928" t="s">
        <v>2275</v>
      </c>
      <c r="L38" s="2928" t="s">
        <v>203</v>
      </c>
    </row>
    <row r="39" spans="1:12" ht="16.95" customHeight="1" thickBot="1" x14ac:dyDescent="0.35">
      <c r="A39" s="2928"/>
      <c r="B39" s="4117" t="s">
        <v>1526</v>
      </c>
      <c r="C39" s="4118"/>
      <c r="D39" s="4118"/>
      <c r="E39" s="4118"/>
      <c r="F39" s="3022"/>
      <c r="G39" s="3012" t="s">
        <v>1525</v>
      </c>
      <c r="H39" s="2946" t="s">
        <v>1643</v>
      </c>
      <c r="I39" s="3040">
        <f>SUM(I40,I47)</f>
        <v>15000</v>
      </c>
      <c r="J39" s="3041">
        <f>SUM(J40+J47)</f>
        <v>10000</v>
      </c>
      <c r="K39" s="2928"/>
      <c r="L39" s="2928"/>
    </row>
    <row r="40" spans="1:12" ht="16.95" customHeight="1" x14ac:dyDescent="0.3">
      <c r="A40" s="2928"/>
      <c r="B40" s="3042" t="s">
        <v>1460</v>
      </c>
      <c r="C40" s="3022" t="s">
        <v>170</v>
      </c>
      <c r="D40" s="3022"/>
      <c r="E40" s="3022"/>
      <c r="F40" s="3022"/>
      <c r="G40" s="2928"/>
      <c r="H40" s="2929"/>
      <c r="I40" s="3043">
        <f>SUM(I41:I46)</f>
        <v>15000</v>
      </c>
      <c r="J40" s="3044">
        <f>SUM(J41:J45)</f>
        <v>10000</v>
      </c>
      <c r="K40" s="2928"/>
      <c r="L40" s="2928"/>
    </row>
    <row r="41" spans="1:12" ht="16.95" customHeight="1" x14ac:dyDescent="0.3">
      <c r="A41" s="2928"/>
      <c r="B41" s="3045"/>
      <c r="C41" s="2977" t="s">
        <v>1445</v>
      </c>
      <c r="D41" s="4115" t="s">
        <v>1524</v>
      </c>
      <c r="E41" s="4115"/>
      <c r="F41" s="3022"/>
      <c r="G41" s="3012" t="s">
        <v>1523</v>
      </c>
      <c r="H41" s="2946"/>
      <c r="I41" s="3046"/>
      <c r="J41" s="3047"/>
      <c r="K41" s="2928"/>
      <c r="L41" s="2928"/>
    </row>
    <row r="42" spans="1:12" ht="16.95" customHeight="1" x14ac:dyDescent="0.3">
      <c r="A42" s="2928"/>
      <c r="B42" s="3045"/>
      <c r="C42" s="2977" t="s">
        <v>1442</v>
      </c>
      <c r="D42" s="4115" t="s">
        <v>1522</v>
      </c>
      <c r="E42" s="4115"/>
      <c r="F42" s="3022"/>
      <c r="G42" s="3012">
        <v>32</v>
      </c>
      <c r="H42" s="2946"/>
      <c r="I42" s="3046"/>
      <c r="J42" s="3047"/>
      <c r="K42" s="2928"/>
      <c r="L42" s="2928"/>
    </row>
    <row r="43" spans="1:12" ht="16.95" customHeight="1" x14ac:dyDescent="0.3">
      <c r="A43" s="2928"/>
      <c r="B43" s="3045"/>
      <c r="C43" s="2977" t="s">
        <v>1467</v>
      </c>
      <c r="D43" s="4115" t="s">
        <v>1521</v>
      </c>
      <c r="E43" s="4115"/>
      <c r="F43" s="3022"/>
      <c r="G43" s="3012">
        <v>33</v>
      </c>
      <c r="H43" s="2946"/>
      <c r="I43" s="3046"/>
      <c r="J43" s="3047"/>
      <c r="K43" s="2928"/>
      <c r="L43" s="2928"/>
    </row>
    <row r="44" spans="1:12" ht="16.95" customHeight="1" x14ac:dyDescent="0.3">
      <c r="A44" s="2928"/>
      <c r="B44" s="3045"/>
      <c r="C44" s="2977" t="s">
        <v>1465</v>
      </c>
      <c r="D44" s="4115" t="s">
        <v>278</v>
      </c>
      <c r="E44" s="4115"/>
      <c r="F44" s="2973"/>
      <c r="G44" s="3012">
        <v>34</v>
      </c>
      <c r="H44" s="2955"/>
      <c r="I44" s="3029">
        <f>'VAL-INIT'!F59</f>
        <v>15000</v>
      </c>
      <c r="J44" s="3048">
        <f>'Gr liv ACT-PAS'!$C$91</f>
        <v>10000</v>
      </c>
      <c r="K44" s="2966"/>
      <c r="L44" s="2928"/>
    </row>
    <row r="45" spans="1:12" ht="16.95" customHeight="1" x14ac:dyDescent="0.3">
      <c r="A45" s="2928"/>
      <c r="B45" s="3045"/>
      <c r="C45" s="2977" t="s">
        <v>1464</v>
      </c>
      <c r="D45" s="4115" t="s">
        <v>1520</v>
      </c>
      <c r="E45" s="4115"/>
      <c r="F45" s="4115"/>
      <c r="G45" s="3012">
        <v>35</v>
      </c>
      <c r="H45" s="2946"/>
      <c r="I45" s="3046"/>
      <c r="J45" s="3047"/>
      <c r="K45" s="2928"/>
      <c r="L45" s="2928"/>
    </row>
    <row r="46" spans="1:12" ht="16.95" customHeight="1" x14ac:dyDescent="0.3">
      <c r="A46" s="2928"/>
      <c r="B46" s="3049"/>
      <c r="C46" s="3050" t="s">
        <v>1519</v>
      </c>
      <c r="D46" s="3050" t="s">
        <v>1518</v>
      </c>
      <c r="E46" s="3051"/>
      <c r="F46" s="3052"/>
      <c r="G46" s="3012">
        <v>36</v>
      </c>
      <c r="H46" s="2955"/>
      <c r="I46" s="2930"/>
      <c r="J46" s="3053"/>
      <c r="K46" s="2928" t="s">
        <v>2275</v>
      </c>
      <c r="L46" s="2928" t="s">
        <v>203</v>
      </c>
    </row>
    <row r="47" spans="1:12" ht="16.95" customHeight="1" x14ac:dyDescent="0.3">
      <c r="A47" s="2928"/>
      <c r="B47" s="3054" t="s">
        <v>1458</v>
      </c>
      <c r="C47" s="4121" t="s">
        <v>1517</v>
      </c>
      <c r="D47" s="4121"/>
      <c r="E47" s="4121"/>
      <c r="F47" s="3055"/>
      <c r="G47" s="3012">
        <v>37</v>
      </c>
      <c r="H47" s="2955"/>
      <c r="I47" s="3027">
        <f>SUM(I48)</f>
        <v>0</v>
      </c>
      <c r="J47" s="3056"/>
      <c r="K47" s="2928"/>
      <c r="L47" s="2928"/>
    </row>
    <row r="48" spans="1:12" ht="16.95" customHeight="1" thickBot="1" x14ac:dyDescent="0.35">
      <c r="A48" s="2928"/>
      <c r="B48" s="3033"/>
      <c r="C48" s="3034"/>
      <c r="D48" s="3034"/>
      <c r="E48" s="3034"/>
      <c r="F48" s="3057" t="s">
        <v>2343</v>
      </c>
      <c r="G48" s="3037"/>
      <c r="H48" s="3058"/>
      <c r="I48" s="3059">
        <f>'VAL-INIT'!F63</f>
        <v>0</v>
      </c>
      <c r="J48" s="3039"/>
      <c r="K48" s="2928"/>
      <c r="L48" s="2928"/>
    </row>
    <row r="49" spans="1:12" ht="16.95" customHeight="1" x14ac:dyDescent="0.3">
      <c r="A49" s="2928"/>
      <c r="B49" s="3060" t="s">
        <v>1516</v>
      </c>
      <c r="C49" s="3061"/>
      <c r="D49" s="3022"/>
      <c r="E49" s="3022"/>
      <c r="F49" s="3022"/>
      <c r="G49" s="3012" t="s">
        <v>1515</v>
      </c>
      <c r="H49" s="2946" t="s">
        <v>1710</v>
      </c>
      <c r="I49" s="3023">
        <f>SUM(I50,I52)</f>
        <v>6250</v>
      </c>
      <c r="J49" s="3062">
        <f>SUM(J50,J52)</f>
        <v>6250</v>
      </c>
      <c r="K49" s="2928"/>
      <c r="L49" s="2928"/>
    </row>
    <row r="50" spans="1:12" ht="16.95" customHeight="1" x14ac:dyDescent="0.3">
      <c r="A50" s="2928"/>
      <c r="B50" s="3025" t="s">
        <v>1460</v>
      </c>
      <c r="C50" s="4122" t="s">
        <v>1514</v>
      </c>
      <c r="D50" s="4122"/>
      <c r="E50" s="2928" t="s">
        <v>2342</v>
      </c>
      <c r="F50" s="3063"/>
      <c r="G50" s="3012">
        <v>40</v>
      </c>
      <c r="H50" s="2955"/>
      <c r="I50" s="2965">
        <f>SUM(I51)</f>
        <v>6250</v>
      </c>
      <c r="J50" s="2965">
        <f>SUM(J51)</f>
        <v>6250</v>
      </c>
      <c r="K50" s="2928"/>
      <c r="L50" s="2928"/>
    </row>
    <row r="51" spans="1:12" ht="16.95" customHeight="1" x14ac:dyDescent="0.3">
      <c r="A51" s="2928"/>
      <c r="B51" s="3025"/>
      <c r="C51" s="3064"/>
      <c r="D51" s="3064"/>
      <c r="E51" s="2928"/>
      <c r="F51" s="3063" t="s">
        <v>2337</v>
      </c>
      <c r="G51" s="3012"/>
      <c r="H51" s="2955"/>
      <c r="I51" s="3029">
        <f>'VAL-INIT'!F67</f>
        <v>6250</v>
      </c>
      <c r="J51" s="3065">
        <f>'CLIENTS(400-290)'!C23</f>
        <v>6250</v>
      </c>
      <c r="K51" s="2928"/>
      <c r="L51" s="2928"/>
    </row>
    <row r="52" spans="1:12" ht="16.95" customHeight="1" thickBot="1" x14ac:dyDescent="0.35">
      <c r="A52" s="2928"/>
      <c r="B52" s="3025" t="s">
        <v>1458</v>
      </c>
      <c r="C52" s="4115" t="s">
        <v>1513</v>
      </c>
      <c r="D52" s="4115"/>
      <c r="E52" s="2928"/>
      <c r="F52" s="2928"/>
      <c r="G52" s="3012">
        <v>41</v>
      </c>
      <c r="H52" s="2955"/>
      <c r="I52" s="2965">
        <f>SUM(I53)</f>
        <v>0</v>
      </c>
      <c r="J52" s="3066">
        <f>SUM(J53)</f>
        <v>0</v>
      </c>
      <c r="K52" s="2966"/>
      <c r="L52" s="2928"/>
    </row>
    <row r="53" spans="1:12" ht="16.95" customHeight="1" thickBot="1" x14ac:dyDescent="0.35">
      <c r="A53" s="2928"/>
      <c r="B53" s="3033"/>
      <c r="C53" s="3034"/>
      <c r="D53" s="3034"/>
      <c r="E53" s="4128" t="s">
        <v>1642</v>
      </c>
      <c r="F53" s="4129"/>
      <c r="G53" s="3037"/>
      <c r="H53" s="3058"/>
      <c r="I53" s="3059">
        <f>'VAL-INIT'!F70</f>
        <v>0</v>
      </c>
      <c r="J53" s="3067"/>
      <c r="K53" s="2928" t="s">
        <v>2275</v>
      </c>
      <c r="L53" s="2928" t="s">
        <v>203</v>
      </c>
    </row>
    <row r="54" spans="1:12" ht="16.95" customHeight="1" x14ac:dyDescent="0.3">
      <c r="A54" s="2928"/>
      <c r="B54" s="4117" t="s">
        <v>1512</v>
      </c>
      <c r="C54" s="4118"/>
      <c r="D54" s="4118"/>
      <c r="E54" s="4118"/>
      <c r="F54" s="3022"/>
      <c r="G54" s="3012" t="s">
        <v>1511</v>
      </c>
      <c r="H54" s="2946" t="s">
        <v>1700</v>
      </c>
      <c r="I54" s="3068">
        <f>SUM(I55,I56)</f>
        <v>0</v>
      </c>
      <c r="J54" s="3069">
        <f>SUM(J55:J56)</f>
        <v>0</v>
      </c>
      <c r="K54" s="2928"/>
      <c r="L54" s="2928"/>
    </row>
    <row r="55" spans="1:12" ht="16.95" customHeight="1" x14ac:dyDescent="0.3">
      <c r="A55" s="2928"/>
      <c r="B55" s="3070" t="s">
        <v>1460</v>
      </c>
      <c r="C55" s="4115" t="s">
        <v>1510</v>
      </c>
      <c r="D55" s="4115"/>
      <c r="E55" s="3022"/>
      <c r="F55" s="3022"/>
      <c r="G55" s="3012">
        <v>50</v>
      </c>
      <c r="H55" s="2955"/>
      <c r="I55" s="3071">
        <f>'VAL-INIT'!F73</f>
        <v>0</v>
      </c>
      <c r="J55" s="3072"/>
      <c r="K55" s="2928"/>
      <c r="L55" s="2928"/>
    </row>
    <row r="56" spans="1:12" ht="16.95" customHeight="1" thickBot="1" x14ac:dyDescent="0.35">
      <c r="A56" s="2928"/>
      <c r="B56" s="3073" t="s">
        <v>1458</v>
      </c>
      <c r="C56" s="4116" t="s">
        <v>1509</v>
      </c>
      <c r="D56" s="4116"/>
      <c r="E56" s="3035"/>
      <c r="F56" s="3035"/>
      <c r="G56" s="3037" t="s">
        <v>1508</v>
      </c>
      <c r="H56" s="3058"/>
      <c r="I56" s="3074">
        <f>'VAL-INIT'!F75</f>
        <v>0</v>
      </c>
      <c r="J56" s="3075"/>
      <c r="K56" s="2928"/>
      <c r="L56" s="2928"/>
    </row>
    <row r="57" spans="1:12" ht="16.95" customHeight="1" x14ac:dyDescent="0.3">
      <c r="A57" s="2928"/>
      <c r="B57" s="4117" t="s">
        <v>1507</v>
      </c>
      <c r="C57" s="4118"/>
      <c r="D57" s="4126" t="s">
        <v>1506</v>
      </c>
      <c r="E57" s="4126"/>
      <c r="F57" s="4127"/>
      <c r="G57" s="3012" t="s">
        <v>1505</v>
      </c>
      <c r="H57" s="2955" t="s">
        <v>1702</v>
      </c>
      <c r="I57" s="3076">
        <f>SUM(I58,I60,I61)</f>
        <v>30600</v>
      </c>
      <c r="J57" s="3077">
        <f>SUM(J58:J61)</f>
        <v>30710</v>
      </c>
      <c r="K57" s="2928"/>
      <c r="L57" s="2928"/>
    </row>
    <row r="58" spans="1:12" ht="16.95" customHeight="1" x14ac:dyDescent="0.3">
      <c r="A58" s="2928"/>
      <c r="B58" s="3078"/>
      <c r="C58" s="3079"/>
      <c r="D58" s="3080"/>
      <c r="E58" s="3080"/>
      <c r="F58" s="3080" t="s">
        <v>169</v>
      </c>
      <c r="G58" s="3012">
        <v>550</v>
      </c>
      <c r="H58" s="2955"/>
      <c r="I58" s="3071">
        <f>'VAL-INIT'!F78</f>
        <v>25000</v>
      </c>
      <c r="J58" s="3030">
        <f>'CLIENTS(400-290)'!C157</f>
        <v>25010</v>
      </c>
      <c r="K58" s="2928"/>
      <c r="L58" s="2928"/>
    </row>
    <row r="59" spans="1:12" ht="16.95" customHeight="1" x14ac:dyDescent="0.3">
      <c r="A59" s="2928"/>
      <c r="B59" s="3078"/>
      <c r="C59" s="3079"/>
      <c r="D59" s="3080"/>
      <c r="E59" s="3080"/>
      <c r="F59" s="3080"/>
      <c r="G59" s="3012"/>
      <c r="H59" s="2955"/>
      <c r="I59" s="3081"/>
      <c r="J59" s="3030"/>
      <c r="K59" s="2928"/>
      <c r="L59" s="2928"/>
    </row>
    <row r="60" spans="1:12" ht="16.95" customHeight="1" x14ac:dyDescent="0.3">
      <c r="A60" s="2928"/>
      <c r="B60" s="3078"/>
      <c r="C60" s="3079"/>
      <c r="D60" s="3080"/>
      <c r="E60" s="3080" t="s">
        <v>1627</v>
      </c>
      <c r="F60" s="3080" t="s">
        <v>2311</v>
      </c>
      <c r="G60" s="3012">
        <v>560</v>
      </c>
      <c r="H60" s="2955"/>
      <c r="I60" s="3071">
        <f>'VAL-INIT'!F82</f>
        <v>4800</v>
      </c>
      <c r="J60" s="3030">
        <f>'CLIENTS(400-290)'!H157</f>
        <v>4800</v>
      </c>
      <c r="K60" s="2928" t="s">
        <v>2275</v>
      </c>
      <c r="L60" s="2928" t="s">
        <v>203</v>
      </c>
    </row>
    <row r="61" spans="1:12" ht="16.95" customHeight="1" thickBot="1" x14ac:dyDescent="0.35">
      <c r="A61" s="2928"/>
      <c r="B61" s="3082"/>
      <c r="C61" s="3083"/>
      <c r="D61" s="3084"/>
      <c r="E61" s="3084"/>
      <c r="F61" s="3084" t="s">
        <v>171</v>
      </c>
      <c r="G61" s="3037">
        <v>570</v>
      </c>
      <c r="H61" s="3058"/>
      <c r="I61" s="3074">
        <f>'VAL-INIT'!F84</f>
        <v>800</v>
      </c>
      <c r="J61" s="3085">
        <f>'CLIENTS(400-290)'!M157</f>
        <v>900</v>
      </c>
      <c r="K61" s="2928"/>
      <c r="L61" s="2928"/>
    </row>
    <row r="62" spans="1:12" ht="16.95" customHeight="1" x14ac:dyDescent="0.3">
      <c r="A62" s="2928"/>
      <c r="B62" s="3078" t="s">
        <v>1504</v>
      </c>
      <c r="C62" s="3079"/>
      <c r="D62" s="3079"/>
      <c r="E62" s="2977"/>
      <c r="F62" s="3022"/>
      <c r="G62" s="3012" t="s">
        <v>1503</v>
      </c>
      <c r="H62" s="2946"/>
      <c r="I62" s="3046">
        <f>SUM(I63)</f>
        <v>0</v>
      </c>
      <c r="J62" s="3056">
        <f>SUM(J63)</f>
        <v>0</v>
      </c>
      <c r="K62" s="2928" t="s">
        <v>2275</v>
      </c>
      <c r="L62" s="2928" t="s">
        <v>203</v>
      </c>
    </row>
    <row r="63" spans="1:12" ht="16.95" customHeight="1" x14ac:dyDescent="0.3">
      <c r="A63" s="2928"/>
      <c r="B63" s="3078"/>
      <c r="C63" s="3079"/>
      <c r="D63" s="3079"/>
      <c r="E63" s="2977"/>
      <c r="F63" s="3022"/>
      <c r="G63" s="3012">
        <v>600</v>
      </c>
      <c r="H63" s="2955"/>
      <c r="I63" s="3071">
        <f>'VAL-INIT'!F87</f>
        <v>0</v>
      </c>
      <c r="J63" s="3056"/>
      <c r="K63" s="2928" t="s">
        <v>2275</v>
      </c>
      <c r="L63" s="2928" t="s">
        <v>203</v>
      </c>
    </row>
    <row r="64" spans="1:12" ht="16.95" customHeight="1" thickBot="1" x14ac:dyDescent="0.35">
      <c r="A64" s="2928"/>
      <c r="B64" s="3017"/>
      <c r="C64" s="3016"/>
      <c r="D64" s="3016"/>
      <c r="E64" s="4119" t="s">
        <v>1502</v>
      </c>
      <c r="F64" s="4120"/>
      <c r="G64" s="3086" t="s">
        <v>1501</v>
      </c>
      <c r="H64" s="3087"/>
      <c r="I64" s="3088">
        <f>SUM(I4+I32)</f>
        <v>144350</v>
      </c>
      <c r="J64" s="3089">
        <f>SUM(J32+J4)</f>
        <v>139460</v>
      </c>
      <c r="K64" s="2928"/>
      <c r="L64" s="2928"/>
    </row>
    <row r="65" spans="1:12" ht="18" thickTop="1" x14ac:dyDescent="0.3">
      <c r="A65" s="3022"/>
      <c r="B65" s="3022"/>
      <c r="C65" s="3022"/>
      <c r="D65" s="3022"/>
      <c r="E65" s="3063"/>
      <c r="F65" s="3063"/>
      <c r="G65" s="3090"/>
      <c r="H65" s="3091"/>
      <c r="I65" s="3092"/>
      <c r="J65" s="3093"/>
      <c r="K65" s="2928"/>
      <c r="L65" s="2928"/>
    </row>
    <row r="66" spans="1:12" x14ac:dyDescent="0.3">
      <c r="A66" s="3022"/>
      <c r="B66" s="3022"/>
      <c r="C66" s="3022"/>
      <c r="D66" s="3022"/>
      <c r="E66" s="3063"/>
      <c r="F66" s="3063"/>
      <c r="G66" s="3090"/>
      <c r="H66" s="3091"/>
      <c r="I66" s="3092"/>
      <c r="J66" s="3093"/>
      <c r="K66" s="2928"/>
      <c r="L66" s="2928"/>
    </row>
    <row r="67" spans="1:12" x14ac:dyDescent="0.3">
      <c r="A67" s="3022"/>
      <c r="B67" s="3022"/>
      <c r="C67" s="3022"/>
      <c r="D67" s="3022"/>
      <c r="E67" s="3063"/>
      <c r="F67" s="3063"/>
      <c r="G67" s="3090"/>
      <c r="H67" s="3091"/>
      <c r="I67" s="3092"/>
      <c r="J67" s="3093"/>
      <c r="K67" s="2928"/>
      <c r="L67" s="2928"/>
    </row>
    <row r="68" spans="1:12" ht="16.95" customHeight="1" x14ac:dyDescent="0.3">
      <c r="A68" s="2928"/>
      <c r="B68" s="3094"/>
      <c r="C68" s="3095" t="s">
        <v>1500</v>
      </c>
      <c r="D68" s="3096"/>
      <c r="E68" s="3096"/>
      <c r="F68" s="3096"/>
      <c r="G68" s="3097" t="s">
        <v>1499</v>
      </c>
      <c r="H68" s="3098"/>
      <c r="I68" s="3099" t="s">
        <v>1498</v>
      </c>
      <c r="J68" s="3100" t="s">
        <v>1887</v>
      </c>
      <c r="K68" s="2928"/>
      <c r="L68" s="2928"/>
    </row>
    <row r="69" spans="1:12" ht="16.95" customHeight="1" x14ac:dyDescent="0.3">
      <c r="A69" s="2928"/>
      <c r="B69" s="4138" t="s">
        <v>1496</v>
      </c>
      <c r="C69" s="4123"/>
      <c r="D69" s="4123"/>
      <c r="E69" s="4143" t="s">
        <v>1628</v>
      </c>
      <c r="F69" s="4144"/>
      <c r="G69" s="3101" t="s">
        <v>1495</v>
      </c>
      <c r="H69" s="3102"/>
      <c r="I69" s="3233" t="e">
        <f>SUM(I70,I75,I80,I82,I84,I87)</f>
        <v>#REF!</v>
      </c>
      <c r="J69" s="3103" t="e">
        <f>SUM(J70,J75,J80,J82,J84,J87)</f>
        <v>#VALUE!</v>
      </c>
      <c r="K69" s="2928"/>
      <c r="L69" s="2928"/>
    </row>
    <row r="70" spans="1:12" ht="16.95" customHeight="1" x14ac:dyDescent="0.3">
      <c r="A70" s="2928"/>
      <c r="B70" s="4134" t="s">
        <v>1494</v>
      </c>
      <c r="C70" s="4135"/>
      <c r="D70" s="3022"/>
      <c r="E70" s="3022"/>
      <c r="F70" s="3022"/>
      <c r="G70" s="3104">
        <v>10</v>
      </c>
      <c r="H70" s="3105"/>
      <c r="I70" s="3106" t="e">
        <f>SUM(I71,I73)</f>
        <v>#REF!</v>
      </c>
      <c r="J70" s="3107">
        <f>SUM(J71:J73)</f>
        <v>138600</v>
      </c>
      <c r="K70" s="2928"/>
      <c r="L70" s="2928"/>
    </row>
    <row r="71" spans="1:12" ht="16.95" customHeight="1" x14ac:dyDescent="0.3">
      <c r="A71" s="2928"/>
      <c r="B71" s="3025" t="s">
        <v>1460</v>
      </c>
      <c r="C71" s="2977" t="s">
        <v>1493</v>
      </c>
      <c r="D71" s="2977"/>
      <c r="E71" s="3022"/>
      <c r="F71" s="3022"/>
      <c r="G71" s="3104">
        <v>100</v>
      </c>
      <c r="H71" s="3105"/>
      <c r="I71" s="3108" t="e">
        <f>'VAL-INIT'!#REF!</f>
        <v>#REF!</v>
      </c>
      <c r="J71" s="3109">
        <f>'Gr liv ACT-PAS'!$R$10</f>
        <v>138600</v>
      </c>
      <c r="K71" s="2928" t="s">
        <v>2275</v>
      </c>
      <c r="L71" s="2928" t="s">
        <v>189</v>
      </c>
    </row>
    <row r="72" spans="1:12" ht="16.95" customHeight="1" x14ac:dyDescent="0.3">
      <c r="A72" s="2928"/>
      <c r="B72" s="3025"/>
      <c r="C72" s="2977"/>
      <c r="D72" s="2977"/>
      <c r="E72" s="3022"/>
      <c r="F72" s="3022"/>
      <c r="G72" s="3104"/>
      <c r="H72" s="3105"/>
      <c r="I72" s="3108"/>
      <c r="J72" s="3109"/>
      <c r="K72" s="2928"/>
      <c r="L72" s="2928"/>
    </row>
    <row r="73" spans="1:12" ht="16.95" customHeight="1" x14ac:dyDescent="0.3">
      <c r="A73" s="2928"/>
      <c r="B73" s="3025" t="s">
        <v>1458</v>
      </c>
      <c r="C73" s="2977" t="s">
        <v>1492</v>
      </c>
      <c r="D73" s="2977"/>
      <c r="E73" s="3022"/>
      <c r="F73" s="3022"/>
      <c r="G73" s="3104">
        <v>101</v>
      </c>
      <c r="H73" s="3105"/>
      <c r="I73" s="3110">
        <v>0</v>
      </c>
      <c r="J73" s="3111"/>
      <c r="K73" s="2928"/>
      <c r="L73" s="2928"/>
    </row>
    <row r="74" spans="1:12" ht="16.95" customHeight="1" thickBot="1" x14ac:dyDescent="0.35">
      <c r="A74" s="2928"/>
      <c r="B74" s="3033"/>
      <c r="C74" s="3034"/>
      <c r="D74" s="3034"/>
      <c r="E74" s="3035"/>
      <c r="F74" s="3035"/>
      <c r="G74" s="3112"/>
      <c r="H74" s="3113"/>
      <c r="I74" s="3114"/>
      <c r="J74" s="3115"/>
      <c r="K74" s="2928"/>
      <c r="L74" s="2928"/>
    </row>
    <row r="75" spans="1:12" ht="16.95" customHeight="1" x14ac:dyDescent="0.3">
      <c r="A75" s="2928"/>
      <c r="B75" s="3116" t="s">
        <v>1491</v>
      </c>
      <c r="C75" s="3117"/>
      <c r="D75" s="2977"/>
      <c r="E75" s="3022"/>
      <c r="F75" s="3022"/>
      <c r="G75" s="3104">
        <v>11</v>
      </c>
      <c r="H75" s="3105"/>
      <c r="I75" s="3118">
        <v>0</v>
      </c>
      <c r="J75" s="3119"/>
      <c r="K75" s="2928"/>
      <c r="L75" s="2928"/>
    </row>
    <row r="76" spans="1:12" ht="16.95" customHeight="1" x14ac:dyDescent="0.3">
      <c r="A76" s="2928"/>
      <c r="B76" s="3025" t="s">
        <v>1453</v>
      </c>
      <c r="C76" s="2977" t="s">
        <v>1487</v>
      </c>
      <c r="D76" s="2977"/>
      <c r="E76" s="2977"/>
      <c r="F76" s="3022"/>
      <c r="G76" s="3104">
        <v>132</v>
      </c>
      <c r="H76" s="3105"/>
      <c r="I76" s="3120"/>
      <c r="J76" s="3111"/>
      <c r="K76" s="2928"/>
      <c r="L76" s="2928"/>
    </row>
    <row r="77" spans="1:12" ht="16.95" customHeight="1" x14ac:dyDescent="0.3">
      <c r="A77" s="2928"/>
      <c r="B77" s="3025"/>
      <c r="C77" s="2977"/>
      <c r="D77" s="2977"/>
      <c r="E77" s="2977"/>
      <c r="F77" s="3022"/>
      <c r="G77" s="3104"/>
      <c r="H77" s="3105"/>
      <c r="I77" s="3120"/>
      <c r="J77" s="3111"/>
      <c r="K77" s="2928"/>
      <c r="L77" s="2928"/>
    </row>
    <row r="78" spans="1:12" ht="16.95" customHeight="1" x14ac:dyDescent="0.3">
      <c r="A78" s="2928"/>
      <c r="B78" s="3025" t="s">
        <v>1449</v>
      </c>
      <c r="C78" s="2977" t="s">
        <v>1486</v>
      </c>
      <c r="D78" s="2977"/>
      <c r="E78" s="3022"/>
      <c r="F78" s="3022"/>
      <c r="G78" s="3104">
        <v>133</v>
      </c>
      <c r="H78" s="3105"/>
      <c r="I78" s="3120"/>
      <c r="J78" s="3111"/>
      <c r="K78" s="2928"/>
      <c r="L78" s="2928"/>
    </row>
    <row r="79" spans="1:12" ht="16.95" customHeight="1" thickBot="1" x14ac:dyDescent="0.35">
      <c r="A79" s="2928"/>
      <c r="B79" s="3033"/>
      <c r="C79" s="3034"/>
      <c r="D79" s="3034"/>
      <c r="E79" s="3035"/>
      <c r="F79" s="3035"/>
      <c r="G79" s="3112"/>
      <c r="H79" s="3113"/>
      <c r="I79" s="3121"/>
      <c r="J79" s="3115"/>
      <c r="K79" s="2928"/>
      <c r="L79" s="2928"/>
    </row>
    <row r="80" spans="1:12" ht="16.95" customHeight="1" x14ac:dyDescent="0.3">
      <c r="A80" s="2928"/>
      <c r="B80" s="3122" t="s">
        <v>2366</v>
      </c>
      <c r="C80" s="2977"/>
      <c r="D80" s="2977"/>
      <c r="E80" s="3022"/>
      <c r="F80" s="3022"/>
      <c r="G80" s="3104"/>
      <c r="H80" s="3105"/>
      <c r="I80" s="3123">
        <f>SUM(I81)</f>
        <v>0</v>
      </c>
      <c r="J80" s="3111"/>
      <c r="K80" s="2928"/>
      <c r="L80" s="2928"/>
    </row>
    <row r="81" spans="1:12" ht="16.95" customHeight="1" thickBot="1" x14ac:dyDescent="0.35">
      <c r="A81" s="2928"/>
      <c r="B81" s="3033"/>
      <c r="C81" s="3034"/>
      <c r="D81" s="3034"/>
      <c r="E81" s="3035"/>
      <c r="F81" s="3035"/>
      <c r="G81" s="3112"/>
      <c r="H81" s="3113"/>
      <c r="I81" s="3121">
        <v>0</v>
      </c>
      <c r="J81" s="3115"/>
      <c r="K81" s="2928"/>
      <c r="L81" s="2928"/>
    </row>
    <row r="82" spans="1:12" ht="16.95" customHeight="1" x14ac:dyDescent="0.3">
      <c r="A82" s="2928"/>
      <c r="B82" s="3042" t="s">
        <v>2367</v>
      </c>
      <c r="C82" s="2977"/>
      <c r="D82" s="2977"/>
      <c r="E82" s="3022"/>
      <c r="F82" s="3022"/>
      <c r="G82" s="3104"/>
      <c r="H82" s="3105"/>
      <c r="I82" s="3124">
        <v>0</v>
      </c>
      <c r="J82" s="3111"/>
      <c r="K82" s="2928"/>
      <c r="L82" s="2928"/>
    </row>
    <row r="83" spans="1:12" ht="16.95" customHeight="1" thickBot="1" x14ac:dyDescent="0.35">
      <c r="A83" s="2928"/>
      <c r="B83" s="3033"/>
      <c r="C83" s="3034"/>
      <c r="D83" s="3034"/>
      <c r="E83" s="3035"/>
      <c r="F83" s="3035"/>
      <c r="G83" s="3112"/>
      <c r="H83" s="3113"/>
      <c r="I83" s="3121">
        <v>0</v>
      </c>
      <c r="J83" s="3115"/>
      <c r="K83" s="2928"/>
      <c r="L83" s="2928"/>
    </row>
    <row r="84" spans="1:12" ht="16.95" customHeight="1" x14ac:dyDescent="0.3">
      <c r="A84" s="2928"/>
      <c r="B84" s="3116" t="s">
        <v>1485</v>
      </c>
      <c r="C84" s="3117"/>
      <c r="D84" s="3022"/>
      <c r="E84" s="3022"/>
      <c r="F84" s="3022"/>
      <c r="G84" s="3104">
        <v>140</v>
      </c>
      <c r="H84" s="3105"/>
      <c r="I84" s="3125">
        <f>SUM(I85:I86)</f>
        <v>0</v>
      </c>
      <c r="J84" s="3126" t="e">
        <f>'Comp Résultat'!D51</f>
        <v>#VALUE!</v>
      </c>
      <c r="K84" s="2928"/>
      <c r="L84" s="2928"/>
    </row>
    <row r="85" spans="1:12" ht="16.95" customHeight="1" x14ac:dyDescent="0.3">
      <c r="A85" s="2928"/>
      <c r="B85" s="4114" t="s">
        <v>1484</v>
      </c>
      <c r="C85" s="4115"/>
      <c r="D85" s="3022"/>
      <c r="E85" s="3022"/>
      <c r="F85" s="3022"/>
      <c r="G85" s="3104">
        <v>141</v>
      </c>
      <c r="H85" s="3105"/>
      <c r="I85" s="3120"/>
      <c r="J85" s="3111"/>
      <c r="K85" s="2928"/>
      <c r="L85" s="2928"/>
    </row>
    <row r="86" spans="1:12" ht="16.95" customHeight="1" x14ac:dyDescent="0.3">
      <c r="A86" s="2928"/>
      <c r="B86" s="3127"/>
      <c r="C86" s="2977"/>
      <c r="D86" s="3022"/>
      <c r="E86" s="3022"/>
      <c r="F86" s="3022"/>
      <c r="G86" s="3104"/>
      <c r="H86" s="3105"/>
      <c r="I86" s="3120"/>
      <c r="J86" s="3111"/>
      <c r="K86" s="2928"/>
      <c r="L86" s="2928"/>
    </row>
    <row r="87" spans="1:12" ht="16.95" customHeight="1" thickBot="1" x14ac:dyDescent="0.35">
      <c r="A87" s="2928"/>
      <c r="B87" s="3128" t="s">
        <v>1483</v>
      </c>
      <c r="C87" s="3129"/>
      <c r="D87" s="3129"/>
      <c r="E87" s="3130"/>
      <c r="F87" s="3130"/>
      <c r="G87" s="3131">
        <v>15</v>
      </c>
      <c r="H87" s="3132"/>
      <c r="I87" s="3133">
        <v>0</v>
      </c>
      <c r="J87" s="3134"/>
      <c r="K87" s="2928"/>
      <c r="L87" s="2928"/>
    </row>
    <row r="88" spans="1:12" ht="16.95" customHeight="1" thickTop="1" x14ac:dyDescent="0.3">
      <c r="A88" s="2928"/>
      <c r="B88" s="4136" t="s">
        <v>1482</v>
      </c>
      <c r="C88" s="4137"/>
      <c r="D88" s="4137"/>
      <c r="E88" s="4137"/>
      <c r="F88" s="3064"/>
      <c r="G88" s="3104">
        <v>16</v>
      </c>
      <c r="H88" s="3105"/>
      <c r="I88" s="3135">
        <f>SUM(I89+I94)</f>
        <v>0</v>
      </c>
      <c r="J88" s="3135">
        <f>SUM(J89+J94)</f>
        <v>0</v>
      </c>
      <c r="K88" s="2928"/>
      <c r="L88" s="2928"/>
    </row>
    <row r="89" spans="1:12" ht="16.95" customHeight="1" x14ac:dyDescent="0.3">
      <c r="A89" s="2928"/>
      <c r="B89" s="3136" t="s">
        <v>2274</v>
      </c>
      <c r="C89" s="3137" t="s">
        <v>1481</v>
      </c>
      <c r="D89" s="3137"/>
      <c r="E89" s="3137"/>
      <c r="F89" s="3137"/>
      <c r="G89" s="3138" t="s">
        <v>1480</v>
      </c>
      <c r="H89" s="3139"/>
      <c r="I89" s="3140">
        <f>SUM(I90:I93)</f>
        <v>0</v>
      </c>
      <c r="J89" s="3141">
        <v>0</v>
      </c>
      <c r="K89" s="2928"/>
      <c r="L89" s="2928"/>
    </row>
    <row r="90" spans="1:12" ht="16.95" customHeight="1" x14ac:dyDescent="0.3">
      <c r="A90" s="2928"/>
      <c r="B90" s="3045"/>
      <c r="C90" s="3142" t="s">
        <v>1445</v>
      </c>
      <c r="D90" s="2977" t="s">
        <v>1479</v>
      </c>
      <c r="E90" s="2977"/>
      <c r="F90" s="2977"/>
      <c r="G90" s="3104">
        <v>160</v>
      </c>
      <c r="H90" s="3105"/>
      <c r="I90" s="3143"/>
      <c r="J90" s="3111"/>
      <c r="K90" s="2928"/>
      <c r="L90" s="2928"/>
    </row>
    <row r="91" spans="1:12" ht="16.95" customHeight="1" x14ac:dyDescent="0.3">
      <c r="A91" s="2928"/>
      <c r="B91" s="3045"/>
      <c r="C91" s="3142" t="s">
        <v>1442</v>
      </c>
      <c r="D91" s="2977" t="s">
        <v>1478</v>
      </c>
      <c r="E91" s="2977"/>
      <c r="F91" s="3022"/>
      <c r="G91" s="3104">
        <v>161</v>
      </c>
      <c r="H91" s="3105"/>
      <c r="I91" s="3143"/>
      <c r="J91" s="3111"/>
      <c r="K91" s="2928"/>
      <c r="L91" s="2928"/>
    </row>
    <row r="92" spans="1:12" ht="16.95" customHeight="1" x14ac:dyDescent="0.3">
      <c r="A92" s="2928"/>
      <c r="B92" s="3045"/>
      <c r="C92" s="3142" t="s">
        <v>1467</v>
      </c>
      <c r="D92" s="2977" t="s">
        <v>1477</v>
      </c>
      <c r="E92" s="2977"/>
      <c r="F92" s="2977"/>
      <c r="G92" s="3104">
        <v>162</v>
      </c>
      <c r="H92" s="3105"/>
      <c r="I92" s="3143"/>
      <c r="J92" s="3111"/>
      <c r="K92" s="2928"/>
      <c r="L92" s="2928"/>
    </row>
    <row r="93" spans="1:12" ht="16.95" customHeight="1" x14ac:dyDescent="0.3">
      <c r="A93" s="2928"/>
      <c r="B93" s="3045"/>
      <c r="C93" s="3142" t="s">
        <v>1465</v>
      </c>
      <c r="D93" s="3022" t="s">
        <v>1476</v>
      </c>
      <c r="E93" s="3022"/>
      <c r="F93" s="3022"/>
      <c r="G93" s="3104" t="s">
        <v>1475</v>
      </c>
      <c r="H93" s="3105"/>
      <c r="I93" s="3143"/>
      <c r="J93" s="3111"/>
      <c r="K93" s="2928"/>
      <c r="L93" s="2928"/>
    </row>
    <row r="94" spans="1:12" ht="16.95" customHeight="1" x14ac:dyDescent="0.3">
      <c r="A94" s="2928"/>
      <c r="B94" s="3144" t="s">
        <v>1458</v>
      </c>
      <c r="C94" s="3117" t="s">
        <v>1474</v>
      </c>
      <c r="D94" s="3117"/>
      <c r="E94" s="3022"/>
      <c r="F94" s="3022"/>
      <c r="G94" s="3104">
        <v>168</v>
      </c>
      <c r="H94" s="3105"/>
      <c r="I94" s="3120"/>
      <c r="J94" s="3111">
        <v>0</v>
      </c>
      <c r="K94" s="2928"/>
      <c r="L94" s="2928"/>
    </row>
    <row r="95" spans="1:12" ht="16.95" customHeight="1" x14ac:dyDescent="0.3">
      <c r="A95" s="2928"/>
      <c r="B95" s="3094"/>
      <c r="C95" s="4123" t="s">
        <v>1473</v>
      </c>
      <c r="D95" s="4123"/>
      <c r="E95" s="4123"/>
      <c r="F95" s="3096"/>
      <c r="G95" s="3138" t="s">
        <v>1472</v>
      </c>
      <c r="H95" s="3139"/>
      <c r="I95" s="3145">
        <f>SUM(I96,I110)</f>
        <v>5750</v>
      </c>
      <c r="J95" s="3146">
        <f>SUM(J96,J110)</f>
        <v>23000</v>
      </c>
      <c r="K95" s="2928"/>
      <c r="L95" s="2928"/>
    </row>
    <row r="96" spans="1:12" ht="16.95" customHeight="1" x14ac:dyDescent="0.3">
      <c r="A96" s="2928"/>
      <c r="B96" s="3147" t="s">
        <v>1471</v>
      </c>
      <c r="C96" s="3148"/>
      <c r="D96" s="3148"/>
      <c r="E96" s="3148"/>
      <c r="F96" s="3149" t="s">
        <v>2364</v>
      </c>
      <c r="G96" s="3138">
        <v>17</v>
      </c>
      <c r="H96" s="3139"/>
      <c r="I96" s="3150">
        <f>SUM(I97,I103,I106,I108)</f>
        <v>0</v>
      </c>
      <c r="J96" s="3151">
        <f>SUM(J97,J103,J106)</f>
        <v>11500</v>
      </c>
      <c r="K96" s="2928"/>
      <c r="L96" s="2928"/>
    </row>
    <row r="97" spans="1:12" ht="16.95" customHeight="1" x14ac:dyDescent="0.3">
      <c r="A97" s="2928"/>
      <c r="B97" s="3025" t="s">
        <v>1460</v>
      </c>
      <c r="C97" s="2977" t="s">
        <v>1457</v>
      </c>
      <c r="D97" s="2977"/>
      <c r="E97" s="3022"/>
      <c r="F97" s="3022"/>
      <c r="G97" s="3104" t="s">
        <v>1470</v>
      </c>
      <c r="H97" s="3105"/>
      <c r="I97" s="3152">
        <f>SUM(I98:I102)</f>
        <v>0</v>
      </c>
      <c r="J97" s="3153">
        <f>SUM(J98:J102)</f>
        <v>0</v>
      </c>
      <c r="K97" s="2928"/>
      <c r="L97" s="2928"/>
    </row>
    <row r="98" spans="1:12" ht="16.95" customHeight="1" x14ac:dyDescent="0.3">
      <c r="A98" s="2928"/>
      <c r="B98" s="3045"/>
      <c r="C98" s="3142" t="s">
        <v>1445</v>
      </c>
      <c r="D98" s="2977" t="s">
        <v>1469</v>
      </c>
      <c r="E98" s="2977"/>
      <c r="F98" s="2977"/>
      <c r="G98" s="3104">
        <v>170</v>
      </c>
      <c r="H98" s="3105"/>
      <c r="I98" s="3143"/>
      <c r="J98" s="3111"/>
      <c r="K98" s="2928"/>
      <c r="L98" s="2928"/>
    </row>
    <row r="99" spans="1:12" ht="16.95" customHeight="1" x14ac:dyDescent="0.3">
      <c r="A99" s="2928"/>
      <c r="B99" s="3045"/>
      <c r="C99" s="3142" t="s">
        <v>1442</v>
      </c>
      <c r="D99" s="2977" t="s">
        <v>1468</v>
      </c>
      <c r="E99" s="2977"/>
      <c r="F99" s="2977"/>
      <c r="G99" s="3104">
        <v>171</v>
      </c>
      <c r="H99" s="3105"/>
      <c r="I99" s="3143"/>
      <c r="J99" s="3111"/>
      <c r="K99" s="2928"/>
      <c r="L99" s="2928"/>
    </row>
    <row r="100" spans="1:12" ht="16.95" customHeight="1" x14ac:dyDescent="0.3">
      <c r="A100" s="2928"/>
      <c r="B100" s="3045"/>
      <c r="C100" s="3142" t="s">
        <v>1467</v>
      </c>
      <c r="D100" s="3154" t="s">
        <v>1466</v>
      </c>
      <c r="E100" s="3154"/>
      <c r="F100" s="3154"/>
      <c r="G100" s="3104">
        <v>172</v>
      </c>
      <c r="H100" s="3105"/>
      <c r="I100" s="3143"/>
      <c r="J100" s="3111"/>
      <c r="K100" s="2928"/>
      <c r="L100" s="2928"/>
    </row>
    <row r="101" spans="1:12" ht="16.95" customHeight="1" x14ac:dyDescent="0.3">
      <c r="A101" s="2928"/>
      <c r="B101" s="3045"/>
      <c r="C101" s="3142" t="s">
        <v>1465</v>
      </c>
      <c r="D101" s="3155" t="s">
        <v>2336</v>
      </c>
      <c r="E101" s="3155"/>
      <c r="F101" s="3857" t="s">
        <v>2467</v>
      </c>
      <c r="G101" s="3104">
        <v>173</v>
      </c>
      <c r="H101" s="3105"/>
      <c r="I101" s="3156">
        <f>'VAL-INIT'!L34</f>
        <v>0</v>
      </c>
      <c r="J101" s="3157">
        <f>'Gr liv ACT-PAS'!$R$59</f>
        <v>0</v>
      </c>
      <c r="K101" s="2928"/>
      <c r="L101" s="2928"/>
    </row>
    <row r="102" spans="1:12" ht="16.95" customHeight="1" x14ac:dyDescent="0.3">
      <c r="A102" s="2928"/>
      <c r="B102" s="3049"/>
      <c r="C102" s="3158" t="s">
        <v>1464</v>
      </c>
      <c r="D102" s="3050" t="s">
        <v>1454</v>
      </c>
      <c r="E102" s="3050"/>
      <c r="F102" s="3856" t="s">
        <v>2498</v>
      </c>
      <c r="G102" s="3159">
        <v>174</v>
      </c>
      <c r="H102" s="3160"/>
      <c r="I102" s="3161"/>
      <c r="J102" s="3162">
        <f>'Bal des comptes'!$G$10</f>
        <v>0</v>
      </c>
      <c r="K102" s="2928"/>
      <c r="L102" s="2928"/>
    </row>
    <row r="103" spans="1:12" ht="16.95" customHeight="1" x14ac:dyDescent="0.3">
      <c r="A103" s="2928"/>
      <c r="B103" s="3025" t="s">
        <v>1458</v>
      </c>
      <c r="C103" s="2977" t="s">
        <v>1452</v>
      </c>
      <c r="D103" s="2977"/>
      <c r="E103" s="3022"/>
      <c r="F103" s="3022"/>
      <c r="G103" s="3104">
        <v>175</v>
      </c>
      <c r="H103" s="3105"/>
      <c r="I103" s="3152">
        <f>SUM(I104:I105)</f>
        <v>0</v>
      </c>
      <c r="J103" s="3153">
        <f>SUM(J104:J105)</f>
        <v>11500</v>
      </c>
      <c r="K103" s="2928"/>
      <c r="L103" s="2928"/>
    </row>
    <row r="104" spans="1:12" ht="16.95" customHeight="1" x14ac:dyDescent="0.3">
      <c r="A104" s="2928"/>
      <c r="B104" s="3045"/>
      <c r="C104" s="3163" t="s">
        <v>1445</v>
      </c>
      <c r="D104" s="2977" t="s">
        <v>35</v>
      </c>
      <c r="E104" s="2977"/>
      <c r="F104" s="2973" t="s">
        <v>2520</v>
      </c>
      <c r="G104" s="3104">
        <v>1750</v>
      </c>
      <c r="H104" s="3105"/>
      <c r="I104" s="3164">
        <f>'VAL-INIT'!L37</f>
        <v>0</v>
      </c>
      <c r="J104" s="3109">
        <f>'CLIENTS(400-290)'!D77</f>
        <v>11500</v>
      </c>
      <c r="K104" s="2928"/>
      <c r="L104" s="2928"/>
    </row>
    <row r="105" spans="1:12" ht="16.95" customHeight="1" thickBot="1" x14ac:dyDescent="0.35">
      <c r="A105" s="2928"/>
      <c r="B105" s="3165"/>
      <c r="C105" s="3166" t="s">
        <v>1442</v>
      </c>
      <c r="D105" s="3034" t="s">
        <v>1450</v>
      </c>
      <c r="E105" s="3034"/>
      <c r="F105" s="3035"/>
      <c r="G105" s="3112">
        <v>1751</v>
      </c>
      <c r="H105" s="3113"/>
      <c r="I105" s="3114"/>
      <c r="J105" s="3115"/>
      <c r="K105" s="2928"/>
      <c r="L105" s="2928"/>
    </row>
    <row r="106" spans="1:12" ht="16.95" customHeight="1" x14ac:dyDescent="0.3">
      <c r="A106" s="2928"/>
      <c r="B106" s="3025" t="s">
        <v>1453</v>
      </c>
      <c r="C106" s="3167" t="s">
        <v>1448</v>
      </c>
      <c r="D106" s="3167"/>
      <c r="E106" s="3167"/>
      <c r="F106" s="2977"/>
      <c r="G106" s="3104">
        <v>176</v>
      </c>
      <c r="H106" s="3105"/>
      <c r="I106" s="3110">
        <f>SUM(I107)</f>
        <v>0</v>
      </c>
      <c r="J106" s="3168">
        <v>0</v>
      </c>
      <c r="K106" s="2928"/>
      <c r="L106" s="2928"/>
    </row>
    <row r="107" spans="1:12" ht="16.95" customHeight="1" thickBot="1" x14ac:dyDescent="0.35">
      <c r="A107" s="2928"/>
      <c r="B107" s="3033"/>
      <c r="C107" s="3169"/>
      <c r="D107" s="3169"/>
      <c r="E107" s="3169"/>
      <c r="F107" s="3034"/>
      <c r="G107" s="3112"/>
      <c r="H107" s="3113"/>
      <c r="I107" s="3114"/>
      <c r="J107" s="3115"/>
      <c r="K107" s="2928"/>
      <c r="L107" s="2928"/>
    </row>
    <row r="108" spans="1:12" ht="16.95" customHeight="1" x14ac:dyDescent="0.3">
      <c r="A108" s="2928"/>
      <c r="B108" s="3025" t="s">
        <v>1449</v>
      </c>
      <c r="C108" s="3167" t="s">
        <v>1438</v>
      </c>
      <c r="D108" s="3167"/>
      <c r="E108" s="3022"/>
      <c r="F108" s="3022"/>
      <c r="G108" s="3104" t="s">
        <v>1463</v>
      </c>
      <c r="H108" s="3105"/>
      <c r="I108" s="3110">
        <f>SUM(I109)</f>
        <v>0</v>
      </c>
      <c r="J108" s="3168">
        <v>0</v>
      </c>
      <c r="K108" s="2928"/>
      <c r="L108" s="2928"/>
    </row>
    <row r="109" spans="1:12" ht="16.95" customHeight="1" thickBot="1" x14ac:dyDescent="0.35">
      <c r="A109" s="2928"/>
      <c r="B109" s="3170"/>
      <c r="C109" s="3171"/>
      <c r="D109" s="3171"/>
      <c r="E109" s="3016"/>
      <c r="F109" s="3016"/>
      <c r="G109" s="3172"/>
      <c r="H109" s="3173"/>
      <c r="I109" s="3174"/>
      <c r="J109" s="3175"/>
      <c r="K109" s="2928"/>
      <c r="L109" s="2928"/>
    </row>
    <row r="110" spans="1:12" ht="16.95" customHeight="1" thickTop="1" x14ac:dyDescent="0.3">
      <c r="A110" s="2928"/>
      <c r="B110" s="3116" t="s">
        <v>1462</v>
      </c>
      <c r="C110" s="3117"/>
      <c r="D110" s="3117"/>
      <c r="E110" s="3117"/>
      <c r="F110" s="3176" t="s">
        <v>2368</v>
      </c>
      <c r="G110" s="3104" t="s">
        <v>1461</v>
      </c>
      <c r="H110" s="3105"/>
      <c r="I110" s="3177">
        <f>SUM(I112,I116,I120,I122,I126)</f>
        <v>5750</v>
      </c>
      <c r="J110" s="3151">
        <f>SUM(J112,J116,J120,J122,J126)</f>
        <v>11500</v>
      </c>
      <c r="K110" s="2928"/>
      <c r="L110" s="2928"/>
    </row>
    <row r="111" spans="1:12" ht="16.95" customHeight="1" x14ac:dyDescent="0.3">
      <c r="A111" s="2928"/>
      <c r="B111" s="3025" t="s">
        <v>1460</v>
      </c>
      <c r="C111" s="2977" t="s">
        <v>1459</v>
      </c>
      <c r="D111" s="2977"/>
      <c r="E111" s="2977"/>
      <c r="F111" s="2977"/>
      <c r="G111" s="3104">
        <v>42</v>
      </c>
      <c r="H111" s="3105"/>
      <c r="I111" s="3106">
        <f>'VAL-INIT'!L44</f>
        <v>0</v>
      </c>
      <c r="J111" s="3111"/>
      <c r="K111" s="2928"/>
      <c r="L111" s="2928"/>
    </row>
    <row r="112" spans="1:12" ht="16.95" customHeight="1" x14ac:dyDescent="0.3">
      <c r="A112" s="2928"/>
      <c r="B112" s="3025" t="s">
        <v>1458</v>
      </c>
      <c r="C112" s="2977" t="s">
        <v>1457</v>
      </c>
      <c r="D112" s="2977"/>
      <c r="E112" s="3022"/>
      <c r="F112" s="3022"/>
      <c r="G112" s="3104">
        <v>43</v>
      </c>
      <c r="H112" s="3105"/>
      <c r="I112" s="3178">
        <f>SUM(I113,I114,I115)</f>
        <v>0</v>
      </c>
      <c r="J112" s="3179">
        <f>SUM(J113:J115)</f>
        <v>0</v>
      </c>
      <c r="K112" s="2928"/>
      <c r="L112" s="2928"/>
    </row>
    <row r="113" spans="1:12" ht="16.95" customHeight="1" x14ac:dyDescent="0.3">
      <c r="A113" s="2928"/>
      <c r="B113" s="3045"/>
      <c r="C113" s="3142" t="s">
        <v>1445</v>
      </c>
      <c r="D113" s="2977" t="s">
        <v>1456</v>
      </c>
      <c r="E113" s="2977"/>
      <c r="F113" s="3855" t="s">
        <v>2495</v>
      </c>
      <c r="G113" s="3104" t="s">
        <v>1455</v>
      </c>
      <c r="H113" s="3105"/>
      <c r="I113" s="3180">
        <f>'VAL-INIT'!L47</f>
        <v>0</v>
      </c>
      <c r="J113" s="3181">
        <f>'Gr liv ACT-PAS'!R32</f>
        <v>0</v>
      </c>
      <c r="K113" s="2928"/>
      <c r="L113" s="2928"/>
    </row>
    <row r="114" spans="1:12" ht="16.95" customHeight="1" x14ac:dyDescent="0.3">
      <c r="A114" s="2928"/>
      <c r="B114" s="3045"/>
      <c r="C114" s="3142" t="s">
        <v>1442</v>
      </c>
      <c r="D114" s="2977" t="s">
        <v>1454</v>
      </c>
      <c r="E114" s="2977"/>
      <c r="F114" s="3855" t="s">
        <v>2499</v>
      </c>
      <c r="G114" s="3104">
        <v>439</v>
      </c>
      <c r="H114" s="3105"/>
      <c r="I114" s="3180">
        <f>'VAL-INIT'!L48</f>
        <v>0</v>
      </c>
      <c r="J114" s="3111">
        <f>'Gr liv ACT-PAS'!Y32</f>
        <v>0</v>
      </c>
      <c r="K114" s="2928"/>
      <c r="L114" s="2928"/>
    </row>
    <row r="115" spans="1:12" ht="16.95" customHeight="1" thickBot="1" x14ac:dyDescent="0.35">
      <c r="A115" s="2928"/>
      <c r="B115" s="3165"/>
      <c r="C115" s="3036">
        <v>2</v>
      </c>
      <c r="D115" s="3034" t="s">
        <v>2389</v>
      </c>
      <c r="E115" s="3034"/>
      <c r="F115" s="3182"/>
      <c r="G115" s="3112"/>
      <c r="H115" s="3113"/>
      <c r="I115" s="3183"/>
      <c r="J115" s="3184"/>
      <c r="K115" s="2928"/>
      <c r="L115" s="2928"/>
    </row>
    <row r="116" spans="1:12" ht="16.95" customHeight="1" x14ac:dyDescent="0.3">
      <c r="A116" s="2928"/>
      <c r="B116" s="3025" t="s">
        <v>1453</v>
      </c>
      <c r="C116" s="2977" t="s">
        <v>1452</v>
      </c>
      <c r="D116" s="2977"/>
      <c r="E116" s="3022"/>
      <c r="F116" s="3022"/>
      <c r="G116" s="3104">
        <v>44</v>
      </c>
      <c r="H116" s="3105"/>
      <c r="I116" s="3178">
        <f>SUM(I117,I118,I119)</f>
        <v>5750</v>
      </c>
      <c r="J116" s="3185">
        <f>SUM(J117:J119)</f>
        <v>11500</v>
      </c>
      <c r="K116" s="2928"/>
      <c r="L116" s="2928"/>
    </row>
    <row r="117" spans="1:12" ht="16.95" customHeight="1" x14ac:dyDescent="0.3">
      <c r="A117" s="2928"/>
      <c r="B117" s="3045"/>
      <c r="C117" s="3142" t="s">
        <v>1445</v>
      </c>
      <c r="D117" s="2977" t="s">
        <v>35</v>
      </c>
      <c r="E117" s="2977"/>
      <c r="F117" s="3028" t="s">
        <v>2519</v>
      </c>
      <c r="G117" s="3104" t="s">
        <v>1451</v>
      </c>
      <c r="H117" s="3105"/>
      <c r="I117" s="3180">
        <f>'VAL-INIT'!L52</f>
        <v>5750</v>
      </c>
      <c r="J117" s="3186">
        <f>'CLIENTS(400-290)'!$AF$26</f>
        <v>11500</v>
      </c>
      <c r="K117" s="2928"/>
      <c r="L117" s="2928"/>
    </row>
    <row r="118" spans="1:12" ht="16.95" customHeight="1" x14ac:dyDescent="0.3">
      <c r="A118" s="2928"/>
      <c r="B118" s="3045"/>
      <c r="C118" s="3142" t="s">
        <v>1442</v>
      </c>
      <c r="D118" s="2977" t="s">
        <v>1450</v>
      </c>
      <c r="E118" s="2977"/>
      <c r="F118" s="3022"/>
      <c r="G118" s="3104">
        <v>441</v>
      </c>
      <c r="H118" s="3105"/>
      <c r="I118" s="3180">
        <f>'VAL-INIT'!L48</f>
        <v>0</v>
      </c>
      <c r="J118" s="3111"/>
      <c r="K118" s="2928"/>
      <c r="L118" s="2928"/>
    </row>
    <row r="119" spans="1:12" ht="16.95" customHeight="1" thickBot="1" x14ac:dyDescent="0.35">
      <c r="A119" s="2928"/>
      <c r="B119" s="3165"/>
      <c r="C119" s="3036"/>
      <c r="D119" s="3034"/>
      <c r="E119" s="3034"/>
      <c r="F119" s="3035" t="s">
        <v>2285</v>
      </c>
      <c r="G119" s="3112"/>
      <c r="H119" s="3113"/>
      <c r="I119" s="3183"/>
      <c r="J119" s="3187">
        <f>'CLIENTS(400-290)'!$AF$56</f>
        <v>0</v>
      </c>
      <c r="K119" s="2928"/>
      <c r="L119" s="2928"/>
    </row>
    <row r="120" spans="1:12" ht="16.95" customHeight="1" x14ac:dyDescent="0.3">
      <c r="A120" s="2928"/>
      <c r="B120" s="3025" t="s">
        <v>1449</v>
      </c>
      <c r="C120" s="2977" t="s">
        <v>1448</v>
      </c>
      <c r="D120" s="2977"/>
      <c r="E120" s="2977"/>
      <c r="F120" s="2977"/>
      <c r="G120" s="3104">
        <v>46</v>
      </c>
      <c r="H120" s="3105"/>
      <c r="I120" s="3188">
        <f>SUM(I121)</f>
        <v>0</v>
      </c>
      <c r="J120" s="3189">
        <f>SUM(J121)</f>
        <v>0</v>
      </c>
      <c r="K120" s="2928"/>
      <c r="L120" s="2928"/>
    </row>
    <row r="121" spans="1:12" ht="16.95" customHeight="1" thickBot="1" x14ac:dyDescent="0.35">
      <c r="A121" s="2928"/>
      <c r="B121" s="3025"/>
      <c r="C121" s="2977"/>
      <c r="D121" s="2977"/>
      <c r="E121" s="2977"/>
      <c r="F121" s="2977"/>
      <c r="G121" s="3104"/>
      <c r="H121" s="3105"/>
      <c r="I121" s="3190"/>
      <c r="J121" s="3046"/>
      <c r="K121" s="2928"/>
      <c r="L121" s="2928"/>
    </row>
    <row r="122" spans="1:12" ht="16.95" customHeight="1" x14ac:dyDescent="0.3">
      <c r="A122" s="2928"/>
      <c r="B122" s="3191" t="s">
        <v>1447</v>
      </c>
      <c r="C122" s="3192" t="s">
        <v>1446</v>
      </c>
      <c r="D122" s="3192"/>
      <c r="E122" s="3192"/>
      <c r="F122" s="3192"/>
      <c r="G122" s="3193">
        <v>45</v>
      </c>
      <c r="H122" s="3194"/>
      <c r="I122" s="3195">
        <f>SUM(I123:I125)</f>
        <v>0</v>
      </c>
      <c r="J122" s="3196">
        <f>SUM(J124:J125)</f>
        <v>0</v>
      </c>
      <c r="K122" s="2928"/>
      <c r="L122" s="2928"/>
    </row>
    <row r="123" spans="1:12" ht="16.95" customHeight="1" x14ac:dyDescent="0.3">
      <c r="A123" s="2928"/>
      <c r="B123" s="3025"/>
      <c r="C123" s="3167"/>
      <c r="D123" s="3167"/>
      <c r="E123" s="3167"/>
      <c r="F123" s="3167"/>
      <c r="G123" s="3104"/>
      <c r="H123" s="3105"/>
      <c r="I123" s="3106"/>
      <c r="J123" s="3197"/>
      <c r="K123" s="2928"/>
      <c r="L123" s="2928"/>
    </row>
    <row r="124" spans="1:12" ht="16.95" customHeight="1" x14ac:dyDescent="0.3">
      <c r="A124" s="2928"/>
      <c r="B124" s="3045"/>
      <c r="C124" s="3142" t="s">
        <v>1445</v>
      </c>
      <c r="D124" s="3022" t="s">
        <v>1444</v>
      </c>
      <c r="E124" s="3022"/>
      <c r="F124" s="3022"/>
      <c r="G124" s="3104" t="s">
        <v>1443</v>
      </c>
      <c r="H124" s="3105"/>
      <c r="I124" s="3120"/>
      <c r="J124" s="3109">
        <f>'Bal des comptes'!G22</f>
        <v>0</v>
      </c>
      <c r="K124" s="2928"/>
      <c r="L124" s="2928"/>
    </row>
    <row r="125" spans="1:12" ht="16.95" customHeight="1" thickBot="1" x14ac:dyDescent="0.35">
      <c r="A125" s="2928"/>
      <c r="B125" s="3165"/>
      <c r="C125" s="3036" t="s">
        <v>1442</v>
      </c>
      <c r="D125" s="3198" t="s">
        <v>1441</v>
      </c>
      <c r="E125" s="3198"/>
      <c r="F125" s="3198"/>
      <c r="G125" s="3112" t="s">
        <v>1440</v>
      </c>
      <c r="H125" s="3113"/>
      <c r="I125" s="3114"/>
      <c r="J125" s="3115"/>
      <c r="K125" s="2928"/>
      <c r="L125" s="2928"/>
    </row>
    <row r="126" spans="1:12" ht="16.95" customHeight="1" x14ac:dyDescent="0.3">
      <c r="A126" s="2928"/>
      <c r="B126" s="3025" t="s">
        <v>1439</v>
      </c>
      <c r="C126" s="2977" t="s">
        <v>1438</v>
      </c>
      <c r="D126" s="2977"/>
      <c r="E126" s="3022"/>
      <c r="F126" s="3022"/>
      <c r="G126" s="3104" t="s">
        <v>1437</v>
      </c>
      <c r="H126" s="3105"/>
      <c r="I126" s="3188">
        <f>SUM(I122:I125)</f>
        <v>0</v>
      </c>
      <c r="J126" s="3189">
        <f>SUM(J124:J125)</f>
        <v>0</v>
      </c>
      <c r="K126" s="2928"/>
      <c r="L126" s="2928"/>
    </row>
    <row r="127" spans="1:12" ht="16.95" customHeight="1" thickBot="1" x14ac:dyDescent="0.35">
      <c r="A127" s="2928"/>
      <c r="B127" s="3199" t="s">
        <v>1436</v>
      </c>
      <c r="C127" s="3096"/>
      <c r="D127" s="3096"/>
      <c r="E127" s="3096"/>
      <c r="F127" s="3096"/>
      <c r="G127" s="3200" t="s">
        <v>1435</v>
      </c>
      <c r="H127" s="3201"/>
      <c r="I127" s="3202"/>
      <c r="J127" s="3203"/>
      <c r="K127" s="2928"/>
      <c r="L127" s="2928"/>
    </row>
    <row r="128" spans="1:12" ht="16.95" customHeight="1" x14ac:dyDescent="0.3">
      <c r="A128" s="2928"/>
      <c r="B128" s="3204"/>
      <c r="C128" s="3205"/>
      <c r="D128" s="3205"/>
      <c r="E128" s="3206" t="s">
        <v>1434</v>
      </c>
      <c r="F128" s="3207"/>
      <c r="G128" s="3208" t="s">
        <v>1433</v>
      </c>
      <c r="H128" s="3209"/>
      <c r="I128" s="3210" t="e">
        <f>SUM(I69+I88+I95)</f>
        <v>#REF!</v>
      </c>
      <c r="J128" s="3211" t="e">
        <f>SUM(J69+J88+J95)</f>
        <v>#VALUE!</v>
      </c>
      <c r="K128" s="2928"/>
      <c r="L128" s="2928"/>
    </row>
    <row r="129" spans="1:12" x14ac:dyDescent="0.3">
      <c r="A129" s="2928"/>
      <c r="B129" s="2928"/>
      <c r="C129" s="2928"/>
      <c r="D129" s="2928"/>
      <c r="E129" s="2928"/>
      <c r="F129" s="2928"/>
      <c r="G129" s="2928"/>
      <c r="H129" s="2929"/>
      <c r="I129" s="2930"/>
      <c r="J129" s="2930"/>
      <c r="K129" s="2928"/>
      <c r="L129" s="2928"/>
    </row>
    <row r="130" spans="1:12" x14ac:dyDescent="0.3">
      <c r="A130" s="2928"/>
      <c r="B130" s="2928"/>
      <c r="C130" s="2928"/>
      <c r="D130" s="2928"/>
      <c r="E130" s="2928"/>
      <c r="F130" s="2928"/>
      <c r="G130" s="2928"/>
      <c r="H130" s="2929"/>
      <c r="I130" s="2930"/>
      <c r="J130" s="2930"/>
      <c r="K130" s="2928"/>
      <c r="L130" s="2928"/>
    </row>
  </sheetData>
  <mergeCells count="44">
    <mergeCell ref="B3:F3"/>
    <mergeCell ref="B2:L2"/>
    <mergeCell ref="E69:F69"/>
    <mergeCell ref="B54:E54"/>
    <mergeCell ref="C55:D55"/>
    <mergeCell ref="C23:D23"/>
    <mergeCell ref="B32:C32"/>
    <mergeCell ref="B34:D34"/>
    <mergeCell ref="C35:D35"/>
    <mergeCell ref="C37:D37"/>
    <mergeCell ref="D32:F32"/>
    <mergeCell ref="D27:E27"/>
    <mergeCell ref="D31:F31"/>
    <mergeCell ref="D24:E24"/>
    <mergeCell ref="C26:E26"/>
    <mergeCell ref="E4:F4"/>
    <mergeCell ref="C95:E95"/>
    <mergeCell ref="C29:E29"/>
    <mergeCell ref="C10:D10"/>
    <mergeCell ref="C13:E13"/>
    <mergeCell ref="C16:E16"/>
    <mergeCell ref="D57:F57"/>
    <mergeCell ref="D30:E30"/>
    <mergeCell ref="E53:F53"/>
    <mergeCell ref="E28:F28"/>
    <mergeCell ref="C20:E20"/>
    <mergeCell ref="C21:F21"/>
    <mergeCell ref="B22:E22"/>
    <mergeCell ref="B70:C70"/>
    <mergeCell ref="B88:E88"/>
    <mergeCell ref="B69:D69"/>
    <mergeCell ref="B39:E39"/>
    <mergeCell ref="D41:E41"/>
    <mergeCell ref="D42:E42"/>
    <mergeCell ref="D43:E43"/>
    <mergeCell ref="D44:E44"/>
    <mergeCell ref="D45:F45"/>
    <mergeCell ref="B85:C85"/>
    <mergeCell ref="C56:D56"/>
    <mergeCell ref="B57:C57"/>
    <mergeCell ref="E64:F64"/>
    <mergeCell ref="C47:E47"/>
    <mergeCell ref="C50:D50"/>
    <mergeCell ref="C52:D52"/>
  </mergeCells>
  <pageMargins left="0.7" right="0.7" top="0.46750000000000003" bottom="0.46200000000000002" header="0.3" footer="0.3"/>
  <pageSetup paperSize="9" scale="70" fitToHeight="0" orientation="portrait" r:id="rId1"/>
  <headerFooter>
    <oddHeader>&amp;Ldernoncourt jordan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V228"/>
  <sheetViews>
    <sheetView topLeftCell="A4" zoomScale="130" zoomScaleNormal="130" workbookViewId="0">
      <selection activeCell="N13" sqref="N13"/>
    </sheetView>
  </sheetViews>
  <sheetFormatPr baseColWidth="10" defaultColWidth="11.5546875" defaultRowHeight="13.8" x14ac:dyDescent="0.25"/>
  <cols>
    <col min="1" max="2" width="3.109375" style="1733" customWidth="1"/>
    <col min="3" max="4" width="3.6640625" style="1733" customWidth="1"/>
    <col min="5" max="5" width="9.33203125" style="1733" customWidth="1"/>
    <col min="6" max="6" width="10.33203125" style="1733" customWidth="1"/>
    <col min="7" max="7" width="3.6640625" style="1733" customWidth="1"/>
    <col min="8" max="8" width="2.88671875" style="1733" customWidth="1"/>
    <col min="9" max="9" width="3.44140625" style="1733" customWidth="1"/>
    <col min="10" max="10" width="3.109375" style="1733" customWidth="1"/>
    <col min="11" max="12" width="3.44140625" style="1733" customWidth="1"/>
    <col min="13" max="13" width="11.5546875" style="1733" customWidth="1"/>
    <col min="14" max="14" width="11.88671875" style="1733" customWidth="1"/>
    <col min="15" max="16" width="3.44140625" style="1733" customWidth="1"/>
    <col min="17" max="17" width="4" style="1733" customWidth="1"/>
    <col min="18" max="18" width="3.6640625" style="1733" customWidth="1"/>
    <col min="19" max="16384" width="11.5546875" style="1733"/>
  </cols>
  <sheetData>
    <row r="1" spans="1:22" ht="9.9" customHeight="1" x14ac:dyDescent="0.25">
      <c r="A1" s="1730"/>
      <c r="B1" s="1731"/>
      <c r="C1" s="1730"/>
      <c r="D1" s="1730"/>
      <c r="E1" s="1730"/>
      <c r="F1" s="1730"/>
      <c r="G1" s="1730"/>
      <c r="H1" s="1730"/>
      <c r="I1" s="1730"/>
      <c r="J1" s="1730"/>
      <c r="K1" s="1730"/>
      <c r="L1" s="1730"/>
      <c r="M1" s="1730"/>
      <c r="N1" s="1730"/>
      <c r="O1" s="1730"/>
      <c r="P1" s="1731"/>
      <c r="Q1" s="1730"/>
      <c r="R1" s="1732"/>
      <c r="S1" s="1732"/>
      <c r="T1" s="1732"/>
      <c r="U1" s="1732"/>
      <c r="V1" s="1732"/>
    </row>
    <row r="2" spans="1:22" ht="9.9" customHeight="1" x14ac:dyDescent="0.25">
      <c r="A2" s="4179" t="s">
        <v>336</v>
      </c>
      <c r="B2" s="4179"/>
      <c r="C2" s="4179"/>
      <c r="D2" s="4179"/>
      <c r="E2" s="4179"/>
      <c r="F2" s="4179"/>
      <c r="G2" s="4179"/>
      <c r="H2" s="4179"/>
      <c r="I2" s="4179"/>
      <c r="J2" s="4179"/>
      <c r="K2" s="4179"/>
      <c r="L2" s="4179"/>
      <c r="M2" s="4179"/>
      <c r="N2" s="4179"/>
      <c r="O2" s="4179"/>
      <c r="P2" s="1731"/>
      <c r="Q2" s="1730"/>
      <c r="R2" s="1732"/>
      <c r="S2" s="1734"/>
      <c r="T2" s="1734"/>
      <c r="U2" s="1734"/>
      <c r="V2" s="1734"/>
    </row>
    <row r="3" spans="1:22" ht="9.9" customHeight="1" x14ac:dyDescent="0.25">
      <c r="A3" s="1730"/>
      <c r="B3" s="1731"/>
      <c r="C3" s="1730"/>
      <c r="D3" s="4180" t="s">
        <v>337</v>
      </c>
      <c r="E3" s="4180"/>
      <c r="F3" s="4180"/>
      <c r="G3" s="4180"/>
      <c r="H3" s="1735"/>
      <c r="I3" s="1736"/>
      <c r="J3" s="1737"/>
      <c r="K3" s="1738"/>
      <c r="L3" s="4180" t="s">
        <v>338</v>
      </c>
      <c r="M3" s="4180"/>
      <c r="N3" s="4180"/>
      <c r="O3" s="4180"/>
      <c r="P3" s="1731"/>
      <c r="Q3" s="1734"/>
      <c r="R3" s="1732"/>
      <c r="S3" s="1730"/>
      <c r="T3" s="1730"/>
      <c r="U3" s="1730"/>
      <c r="V3" s="1730"/>
    </row>
    <row r="4" spans="1:22" ht="15" customHeight="1" x14ac:dyDescent="0.25">
      <c r="A4" s="1730"/>
      <c r="B4" s="1731"/>
      <c r="C4" s="1730"/>
      <c r="D4" s="4181" t="s">
        <v>2137</v>
      </c>
      <c r="E4" s="4182"/>
      <c r="F4" s="4182"/>
      <c r="G4" s="4182"/>
      <c r="H4" s="4182"/>
      <c r="I4" s="4182"/>
      <c r="J4" s="4182"/>
      <c r="K4" s="4182"/>
      <c r="L4" s="4182"/>
      <c r="M4" s="4182"/>
      <c r="N4" s="4182"/>
      <c r="O4" s="4182"/>
      <c r="P4" s="1731"/>
      <c r="Q4" s="1734"/>
      <c r="R4" s="1732"/>
      <c r="S4" s="1730"/>
      <c r="T4" s="1730"/>
      <c r="U4" s="1730"/>
      <c r="V4" s="1730"/>
    </row>
    <row r="5" spans="1:22" ht="15" customHeight="1" x14ac:dyDescent="0.25">
      <c r="A5" s="1730"/>
      <c r="B5" s="1731"/>
      <c r="C5" s="1730"/>
      <c r="D5" s="4181" t="s">
        <v>2123</v>
      </c>
      <c r="E5" s="4182"/>
      <c r="F5" s="4182"/>
      <c r="G5" s="4182"/>
      <c r="H5" s="4182"/>
      <c r="I5" s="4182"/>
      <c r="J5" s="4182"/>
      <c r="K5" s="4182"/>
      <c r="L5" s="4182"/>
      <c r="M5" s="4182"/>
      <c r="N5" s="4182"/>
      <c r="O5" s="4182"/>
      <c r="P5" s="4182"/>
      <c r="Q5" s="4182"/>
      <c r="R5" s="4182"/>
      <c r="S5" s="1730"/>
      <c r="T5" s="1730"/>
      <c r="U5" s="1730"/>
      <c r="V5" s="1730"/>
    </row>
    <row r="6" spans="1:22" ht="15" customHeight="1" x14ac:dyDescent="0.35">
      <c r="D6" s="4183" t="s">
        <v>2175</v>
      </c>
      <c r="E6" s="4184"/>
      <c r="F6" s="4184"/>
      <c r="G6" s="4184"/>
      <c r="H6" s="4184"/>
      <c r="I6" s="4184"/>
      <c r="J6" s="4184"/>
      <c r="K6" s="4184"/>
      <c r="L6" s="4184"/>
      <c r="M6" s="4184"/>
      <c r="N6" s="4184"/>
      <c r="O6" s="4184"/>
      <c r="P6" s="4184"/>
      <c r="Q6" s="4184"/>
      <c r="R6" s="4184"/>
      <c r="S6" s="4184"/>
      <c r="T6" s="4184"/>
      <c r="U6" s="4184"/>
      <c r="V6" s="4184"/>
    </row>
    <row r="7" spans="1:22" ht="15" customHeight="1" x14ac:dyDescent="0.3">
      <c r="D7" s="4186" t="s">
        <v>2138</v>
      </c>
      <c r="E7" s="4186"/>
      <c r="F7" s="4186"/>
      <c r="G7" s="4186"/>
      <c r="H7" s="4186"/>
      <c r="I7" s="4186"/>
      <c r="J7" s="4186"/>
      <c r="K7" s="4186"/>
      <c r="L7" s="4186"/>
      <c r="M7" s="4186"/>
      <c r="N7" s="4186"/>
      <c r="O7" s="4186"/>
      <c r="P7" s="4186"/>
      <c r="Q7" s="4186"/>
      <c r="R7" s="4186"/>
      <c r="S7" s="4186"/>
      <c r="T7" s="4186"/>
      <c r="U7" s="4186"/>
      <c r="V7" s="1730"/>
    </row>
    <row r="8" spans="1:22" ht="15" customHeight="1" thickBot="1" x14ac:dyDescent="0.35">
      <c r="D8" s="4185"/>
      <c r="E8" s="4185"/>
      <c r="F8" s="4185"/>
      <c r="G8" s="4185"/>
      <c r="H8" s="4185"/>
      <c r="I8" s="4185"/>
      <c r="J8" s="4185"/>
      <c r="K8" s="4185"/>
      <c r="L8" s="4185"/>
      <c r="M8" s="4185"/>
      <c r="N8" s="4185"/>
      <c r="O8" s="4185"/>
      <c r="P8" s="4185"/>
      <c r="Q8" s="4185"/>
      <c r="R8" s="4185"/>
      <c r="S8" s="4185"/>
      <c r="T8" s="4185"/>
      <c r="U8" s="4185"/>
      <c r="V8" s="1730"/>
    </row>
    <row r="9" spans="1:22" s="1744" customFormat="1" ht="9.9" customHeight="1" thickTop="1" x14ac:dyDescent="0.25">
      <c r="A9" s="1739"/>
      <c r="B9" s="1740"/>
      <c r="C9" s="1739"/>
      <c r="D9" s="4162" t="s">
        <v>1618</v>
      </c>
      <c r="E9" s="4163"/>
      <c r="F9" s="4164" t="s">
        <v>1619</v>
      </c>
      <c r="G9" s="4165"/>
      <c r="H9" s="1740"/>
      <c r="I9" s="1741"/>
      <c r="J9" s="1742"/>
      <c r="K9" s="1739"/>
      <c r="L9" s="4164" t="s">
        <v>1620</v>
      </c>
      <c r="M9" s="4165"/>
      <c r="N9" s="4175" t="s">
        <v>1621</v>
      </c>
      <c r="O9" s="4175"/>
      <c r="P9" s="1740"/>
      <c r="Q9" s="1743"/>
      <c r="R9" s="1743"/>
      <c r="S9" s="1739"/>
      <c r="T9" s="1739"/>
      <c r="U9" s="1739"/>
      <c r="V9" s="1739"/>
    </row>
    <row r="10" spans="1:22" s="1744" customFormat="1" ht="9.9" customHeight="1" thickBot="1" x14ac:dyDescent="0.3">
      <c r="A10" s="1739"/>
      <c r="B10" s="1740"/>
      <c r="C10" s="1739"/>
      <c r="D10" s="4176" t="s">
        <v>3</v>
      </c>
      <c r="E10" s="4177"/>
      <c r="F10" s="4177"/>
      <c r="G10" s="4178"/>
      <c r="H10" s="1739"/>
      <c r="I10" s="1741"/>
      <c r="J10" s="1742"/>
      <c r="K10" s="1739"/>
      <c r="L10" s="4176" t="s">
        <v>3</v>
      </c>
      <c r="M10" s="4177"/>
      <c r="N10" s="4177"/>
      <c r="O10" s="4178"/>
      <c r="P10" s="1740"/>
      <c r="Q10" s="1743"/>
      <c r="R10" s="1743"/>
      <c r="S10" s="1743"/>
      <c r="T10" s="1745"/>
      <c r="U10" s="1739"/>
      <c r="V10" s="1739"/>
    </row>
    <row r="11" spans="1:22" s="1744" customFormat="1" ht="9.9" customHeight="1" thickBot="1" x14ac:dyDescent="0.3">
      <c r="A11" s="1739"/>
      <c r="B11" s="1740"/>
      <c r="C11" s="1739"/>
      <c r="D11" s="1745"/>
      <c r="E11" s="1746" t="s">
        <v>348</v>
      </c>
      <c r="F11" s="1747"/>
      <c r="G11" s="1748"/>
      <c r="H11" s="1749"/>
      <c r="I11" s="1741"/>
      <c r="J11" s="1742"/>
      <c r="K11" s="1739"/>
      <c r="L11" s="1739"/>
      <c r="M11" s="1746" t="s">
        <v>348</v>
      </c>
      <c r="N11" s="4166"/>
      <c r="O11" s="4166"/>
      <c r="P11" s="1740"/>
      <c r="Q11" s="1743"/>
      <c r="R11" s="1739"/>
      <c r="S11" s="1743"/>
      <c r="T11" s="1745"/>
      <c r="U11" s="1739"/>
      <c r="V11" s="1739"/>
    </row>
    <row r="12" spans="1:22" s="1744" customFormat="1" ht="9.9" customHeight="1" thickTop="1" thickBot="1" x14ac:dyDescent="0.3">
      <c r="A12" s="1739"/>
      <c r="B12" s="1750"/>
      <c r="C12" s="1751"/>
      <c r="D12" s="1752" t="s">
        <v>186</v>
      </c>
      <c r="E12" s="1753" t="str">
        <f t="array" ref="E12">INDEX('Val-Dép'!B$1:B$25,MIN(IF(COUNTIF($E$11:$E$11,'Val-Dép'!B$13:B$25)=0,ROW($13:$25))))</f>
        <v>C00011</v>
      </c>
      <c r="F12" s="1754" t="str">
        <f>IFERROR(VLOOKUP($E$12,'Val-Dép'!$B$13:$D$23,2,FALSE),"")</f>
        <v>client01</v>
      </c>
      <c r="G12" s="1752" t="s">
        <v>185</v>
      </c>
      <c r="H12" s="1755"/>
      <c r="I12" s="1741"/>
      <c r="J12" s="1742"/>
      <c r="K12" s="1756"/>
      <c r="L12" s="1752" t="s">
        <v>195</v>
      </c>
      <c r="M12" s="1753" t="str">
        <f t="array" ref="M12">INDEX('Val-Dép'!B$1:B$45,MIN(IF(COUNTIF($M$11:$M$11,'Val-Dép'!B$35:B$45)=0,ROW($35:$45))))</f>
        <v>F0001</v>
      </c>
      <c r="N12" s="1754" t="str">
        <f>IFERROR(VLOOKUP($M$12,'Val-Dép'!$B$35:$D$46,2,FALSE),"")</f>
        <v>four01</v>
      </c>
      <c r="O12" s="1752" t="s">
        <v>193</v>
      </c>
      <c r="P12" s="1757"/>
      <c r="Q12" s="1751"/>
      <c r="R12" s="1758"/>
      <c r="S12" s="1739"/>
      <c r="T12" s="1739"/>
      <c r="U12" s="1739"/>
      <c r="V12" s="1739"/>
    </row>
    <row r="13" spans="1:22" s="1744" customFormat="1" ht="9.9" customHeight="1" x14ac:dyDescent="0.25">
      <c r="A13" s="1739"/>
      <c r="B13" s="1759"/>
      <c r="C13" s="1739"/>
      <c r="D13" s="1760" t="s">
        <v>207</v>
      </c>
      <c r="E13" s="1761">
        <f>IFERROR(VLOOKUP($E$12,'Val-Dép'!$B$12:$D$25,3,FALSE),"")</f>
        <v>0</v>
      </c>
      <c r="F13" s="1762" t="s">
        <v>224</v>
      </c>
      <c r="G13" s="1763"/>
      <c r="H13" s="1764"/>
      <c r="I13" s="1765"/>
      <c r="J13" s="1742"/>
      <c r="K13" s="1766"/>
      <c r="L13" s="1767"/>
      <c r="M13" s="1768" t="s">
        <v>208</v>
      </c>
      <c r="N13" s="1761">
        <f>IFERROR(VLOOKUP($M$12,'Val-Dép'!$B$35:$D$46,3,FALSE),"")</f>
        <v>0</v>
      </c>
      <c r="O13" s="1769" t="s">
        <v>207</v>
      </c>
      <c r="P13" s="1740"/>
      <c r="Q13" s="1739"/>
      <c r="R13" s="1770"/>
      <c r="S13" s="1739"/>
      <c r="T13" s="1739"/>
      <c r="U13" s="1739"/>
      <c r="V13" s="1739"/>
    </row>
    <row r="14" spans="1:22" s="1744" customFormat="1" ht="9.9" customHeight="1" x14ac:dyDescent="0.25">
      <c r="A14" s="1739"/>
      <c r="B14" s="1759"/>
      <c r="C14" s="1771">
        <v>13</v>
      </c>
      <c r="D14" s="1772"/>
      <c r="E14" s="1773">
        <f>IF(ISNA(VLOOKUP($E$12,'Val-Dép'!B13:AA13,21,FALSE)),,VLOOKUP($E$12,'Val-Dép'!B13:AA13,21,FALSE))</f>
        <v>0</v>
      </c>
      <c r="F14" s="1774">
        <f>IF(ISNA(VLOOKUP($E$12,'Val-Dép'!AA13:AG13,6,FALSE)),,VLOOKUP($E$12,'Val-Dép'!AA13:AG13,6,FALSE))</f>
        <v>0</v>
      </c>
      <c r="G14" s="1772"/>
      <c r="H14" s="1764"/>
      <c r="I14" s="1765"/>
      <c r="J14" s="1742"/>
      <c r="K14" s="1766"/>
      <c r="L14" s="1739"/>
      <c r="M14" s="1775">
        <f>IF(ISNA(VLOOKUP($M$12,'Val-Dép'!B35:AM35,38,FALSE)),,VLOOKUP($M$12,'Val-Dép'!B35:AM35,38,FALSE))</f>
        <v>0</v>
      </c>
      <c r="N14" s="1776">
        <f>IF(ISNA(VLOOKUP($M$12,'Val-Dép'!B35:AM35,27,FALSE)),,VLOOKUP($M$12,'Val-Dép'!B35:AM35,27,FALSE))</f>
        <v>750</v>
      </c>
      <c r="O14" s="1777"/>
      <c r="P14" s="1740">
        <v>35</v>
      </c>
      <c r="Q14" s="1739"/>
      <c r="R14" s="1770"/>
      <c r="S14" s="1739"/>
      <c r="T14" s="1739"/>
      <c r="U14" s="1739"/>
      <c r="V14" s="1739"/>
    </row>
    <row r="15" spans="1:22" s="1744" customFormat="1" ht="9.9" customHeight="1" x14ac:dyDescent="0.25">
      <c r="A15" s="1739"/>
      <c r="B15" s="1759"/>
      <c r="C15" s="1771">
        <v>14</v>
      </c>
      <c r="D15" s="1772"/>
      <c r="E15" s="1773">
        <f>IF(ISNA(VLOOKUP($E$12,'Val-Dép'!B14:AA14,21,FALSE)),,VLOOKUP($E$12,'Val-Dép'!B14:AA14,21,FALSE))</f>
        <v>0</v>
      </c>
      <c r="F15" s="1774">
        <f>IF(ISNA(VLOOKUP($E$12,'Val-Dép'!AA14:AG14,6,FALSE)),,VLOOKUP($E$12,'Val-Dép'!AA14:AG14,6,FALSE))</f>
        <v>0</v>
      </c>
      <c r="G15" s="1772"/>
      <c r="H15" s="1764"/>
      <c r="I15" s="1765"/>
      <c r="J15" s="1742"/>
      <c r="K15" s="1766"/>
      <c r="L15" s="1739"/>
      <c r="M15" s="1775">
        <f>IF(ISNA(VLOOKUP($M$12,'Val-Dép'!B36:AM36,38,FALSE)),,VLOOKUP($M$12,'Val-Dép'!B36:AM36,38,FALSE))</f>
        <v>0</v>
      </c>
      <c r="N15" s="1776">
        <f>IF(ISNA(VLOOKUP($M$12,'Val-Dép'!B36:AM36,27,FALSE)),,VLOOKUP($M$12,'Val-Dép'!B36:AM36,27,FALSE))</f>
        <v>5000</v>
      </c>
      <c r="O15" s="1777"/>
      <c r="P15" s="1740">
        <v>36</v>
      </c>
      <c r="Q15" s="1739"/>
      <c r="R15" s="1770"/>
      <c r="S15" s="1739"/>
      <c r="T15" s="1739"/>
      <c r="U15" s="1739"/>
      <c r="V15" s="1739"/>
    </row>
    <row r="16" spans="1:22" s="1744" customFormat="1" ht="9.9" customHeight="1" x14ac:dyDescent="0.25">
      <c r="A16" s="1739"/>
      <c r="B16" s="1759"/>
      <c r="C16" s="1771">
        <v>15</v>
      </c>
      <c r="D16" s="1772"/>
      <c r="E16" s="1773">
        <f>IF(ISNA(VLOOKUP($E$12,'Val-Dép'!B15:AA15,21,FALSE)),,VLOOKUP($E$12,'Val-Dép'!B15:AA15,21,FALSE))</f>
        <v>0</v>
      </c>
      <c r="F16" s="1774">
        <f>IF(ISNA(VLOOKUP($E$12,'Val-Dép'!AA15:AG15,6,FALSE)),,VLOOKUP($E$12,'Val-Dép'!AA15:AG15,6,FALSE))</f>
        <v>0</v>
      </c>
      <c r="G16" s="1772"/>
      <c r="H16" s="1764"/>
      <c r="I16" s="1765"/>
      <c r="J16" s="1742"/>
      <c r="K16" s="1766"/>
      <c r="L16" s="1739"/>
      <c r="M16" s="1775">
        <f>IF(ISNA(VLOOKUP($M$12,'Val-Dép'!B37:AM37,38,FALSE)),,VLOOKUP($M$12,'Val-Dép'!B37:AM37,38,FALSE))</f>
        <v>0</v>
      </c>
      <c r="N16" s="1776">
        <f>IF(ISNA(VLOOKUP($M$12,'Val-Dép'!B37:AM37,27,FALSE)),,VLOOKUP($M$12,'Val-Dép'!B37:AM37,27,FALSE))</f>
        <v>0</v>
      </c>
      <c r="O16" s="1777"/>
      <c r="P16" s="1740">
        <v>37</v>
      </c>
      <c r="Q16" s="1739"/>
      <c r="R16" s="1770"/>
      <c r="S16" s="1739"/>
      <c r="T16" s="1739"/>
      <c r="U16" s="1739"/>
      <c r="V16" s="1739"/>
    </row>
    <row r="17" spans="1:22" s="1744" customFormat="1" ht="9.9" customHeight="1" x14ac:dyDescent="0.25">
      <c r="A17" s="1739"/>
      <c r="B17" s="1759"/>
      <c r="C17" s="1771">
        <v>16</v>
      </c>
      <c r="D17" s="1772"/>
      <c r="E17" s="1773">
        <f>IF(ISNA(VLOOKUP($E$12,'Val-Dép'!B16:AA16,21,FALSE)),,VLOOKUP($E$12,'Val-Dép'!B16:AA16,21,FALSE))</f>
        <v>0</v>
      </c>
      <c r="F17" s="1774">
        <f>IF(ISNA(VLOOKUP($E$12,'Val-Dép'!AA16:AG16,6,FALSE)),,VLOOKUP($E$12,'Val-Dép'!AA16:AG16,6,FALSE))</f>
        <v>0</v>
      </c>
      <c r="G17" s="1772"/>
      <c r="H17" s="1764"/>
      <c r="I17" s="1765"/>
      <c r="J17" s="1742"/>
      <c r="K17" s="1766"/>
      <c r="L17" s="1739"/>
      <c r="M17" s="1775">
        <f>IF(ISNA(VLOOKUP($M$12,'Val-Dép'!B38:AM38,38,FALSE)),,VLOOKUP($M$12,'Val-Dép'!B38:AM38,38,FALSE))</f>
        <v>0</v>
      </c>
      <c r="N17" s="1776">
        <f>IF(ISNA(VLOOKUP($M$12,'Val-Dép'!B38:AM38,27,FALSE)),,VLOOKUP($M$12,'Val-Dép'!B38:AM38,27,FALSE))</f>
        <v>0</v>
      </c>
      <c r="O17" s="1777"/>
      <c r="P17" s="1740">
        <v>38</v>
      </c>
      <c r="Q17" s="1739"/>
      <c r="R17" s="1778"/>
      <c r="S17" s="1739"/>
      <c r="T17" s="1739"/>
      <c r="U17" s="1739"/>
      <c r="V17" s="1739"/>
    </row>
    <row r="18" spans="1:22" s="1744" customFormat="1" ht="9.9" customHeight="1" x14ac:dyDescent="0.25">
      <c r="A18" s="1739"/>
      <c r="B18" s="1759"/>
      <c r="C18" s="1771">
        <v>17</v>
      </c>
      <c r="D18" s="1772"/>
      <c r="E18" s="1773">
        <f>IF(ISNA(VLOOKUP($E$12,'Val-Dép'!B17:AA17,21,FALSE)),,VLOOKUP($E$12,'Val-Dép'!B17:AA17,21,FALSE))</f>
        <v>0</v>
      </c>
      <c r="F18" s="1774">
        <f>IF(ISNA(VLOOKUP($E$12,'Val-Dép'!AA17:AG17,6,FALSE)),,VLOOKUP($E$12,'Val-Dép'!AA17:AG17,6,FALSE))</f>
        <v>0</v>
      </c>
      <c r="G18" s="1772"/>
      <c r="H18" s="1764"/>
      <c r="I18" s="1765"/>
      <c r="J18" s="1742"/>
      <c r="K18" s="1766"/>
      <c r="L18" s="1739"/>
      <c r="M18" s="1775">
        <f>IF(ISNA(VLOOKUP($M$12,'Val-Dép'!B39:AM39,38,FALSE)),,VLOOKUP($M$12,'Val-Dép'!B39:AM39,38,FALSE))</f>
        <v>0</v>
      </c>
      <c r="N18" s="1776">
        <f>IF(ISNA(VLOOKUP($M$12,'Val-Dép'!B39:AM39,27,FALSE)),,VLOOKUP($M$12,'Val-Dép'!B39:AM39,27,FALSE))</f>
        <v>0</v>
      </c>
      <c r="O18" s="1777"/>
      <c r="P18" s="1740">
        <v>39</v>
      </c>
      <c r="Q18" s="1739"/>
      <c r="R18" s="1770"/>
      <c r="S18" s="1739"/>
      <c r="T18" s="1739"/>
      <c r="U18" s="1739"/>
      <c r="V18" s="1739"/>
    </row>
    <row r="19" spans="1:22" s="1744" customFormat="1" ht="9.9" customHeight="1" x14ac:dyDescent="0.25">
      <c r="A19" s="1739"/>
      <c r="B19" s="1759"/>
      <c r="C19" s="1771">
        <v>18</v>
      </c>
      <c r="D19" s="1772"/>
      <c r="E19" s="1773">
        <f>IF(ISNA(VLOOKUP($E$12,'Val-Dép'!B18:AA18,21,FALSE)),,VLOOKUP($E$12,'Val-Dép'!B18:AA18,21,FALSE))</f>
        <v>0</v>
      </c>
      <c r="F19" s="1774">
        <f>IF(ISNA(VLOOKUP($E$12,'Val-Dép'!AA18:AG18,6,FALSE)),,VLOOKUP($E$12,'Val-Dép'!AA18:AG18,6,FALSE))</f>
        <v>0</v>
      </c>
      <c r="G19" s="1772"/>
      <c r="H19" s="1764"/>
      <c r="I19" s="1765"/>
      <c r="J19" s="1742"/>
      <c r="K19" s="1766"/>
      <c r="L19" s="1739"/>
      <c r="M19" s="1775">
        <f>IF(ISNA(VLOOKUP($M$12,'Val-Dép'!B40:AM40,38,FALSE)),,VLOOKUP($M$12,'Val-Dép'!B40:AM40,38,FALSE))</f>
        <v>0</v>
      </c>
      <c r="N19" s="1776">
        <f>IF(ISNA(VLOOKUP($M$12,'Val-Dép'!B40:AM40,27,FALSE)),,VLOOKUP($M$12,'Val-Dép'!B40:AM40,27,FALSE))</f>
        <v>0</v>
      </c>
      <c r="O19" s="1777"/>
      <c r="P19" s="1740">
        <v>40</v>
      </c>
      <c r="Q19" s="1739"/>
      <c r="R19" s="1770"/>
      <c r="S19" s="1739"/>
      <c r="T19" s="1739"/>
      <c r="U19" s="1739"/>
      <c r="V19" s="1739"/>
    </row>
    <row r="20" spans="1:22" s="1744" customFormat="1" ht="9.9" customHeight="1" x14ac:dyDescent="0.25">
      <c r="A20" s="1739"/>
      <c r="B20" s="1759"/>
      <c r="C20" s="1771">
        <v>19</v>
      </c>
      <c r="D20" s="1772"/>
      <c r="E20" s="1773">
        <f>IF(ISNA(VLOOKUP($E$12,'Val-Dép'!B19:AA19,21,FALSE)),,VLOOKUP($E$12,'Val-Dép'!B19:AA19,21,FALSE))</f>
        <v>0</v>
      </c>
      <c r="F20" s="1774">
        <f>IF(ISNA(VLOOKUP($E$12,'Val-Dép'!AA19:AG19,6,FALSE)),,VLOOKUP($E$12,'Val-Dép'!AA19:AG19,6,FALSE))</f>
        <v>0</v>
      </c>
      <c r="G20" s="1772"/>
      <c r="H20" s="1764"/>
      <c r="I20" s="1765"/>
      <c r="J20" s="1742"/>
      <c r="K20" s="1766"/>
      <c r="L20" s="1739"/>
      <c r="M20" s="1775">
        <f>IF(ISNA(VLOOKUP($M$12,'Val-Dép'!B41:AM41,38,FALSE)),,VLOOKUP($M$12,'Val-Dép'!B41:AM41,38,FALSE))</f>
        <v>0</v>
      </c>
      <c r="N20" s="1776">
        <f>IF(ISNA(VLOOKUP($M$12,'Val-Dép'!B41:AM41,27,FALSE)),,VLOOKUP($M$12,'Val-Dép'!B41:AM41,27,FALSE))</f>
        <v>0</v>
      </c>
      <c r="O20" s="1777"/>
      <c r="P20" s="1740">
        <v>41</v>
      </c>
      <c r="Q20" s="1739"/>
      <c r="R20" s="1770"/>
      <c r="S20" s="1739"/>
      <c r="T20" s="1739"/>
      <c r="U20" s="1739"/>
      <c r="V20" s="1739"/>
    </row>
    <row r="21" spans="1:22" s="1744" customFormat="1" ht="9.9" customHeight="1" x14ac:dyDescent="0.25">
      <c r="A21" s="1739"/>
      <c r="B21" s="1759"/>
      <c r="C21" s="1771">
        <v>20</v>
      </c>
      <c r="D21" s="1739"/>
      <c r="E21" s="1773">
        <f>IF(ISNA(VLOOKUP($E$12,'Val-Dép'!B20:AA20,21,FALSE)),,VLOOKUP($E$12,'Val-Dép'!B20:AA20,21,FALSE))</f>
        <v>0</v>
      </c>
      <c r="F21" s="1774">
        <f>IF(ISNA(VLOOKUP($E$12,'Val-Dép'!AA20:AG20,6,FALSE)),,VLOOKUP($E$12,'Val-Dép'!AA20:AG20,6,FALSE))</f>
        <v>0</v>
      </c>
      <c r="G21" s="1739"/>
      <c r="H21" s="1770"/>
      <c r="I21" s="1741"/>
      <c r="J21" s="1742"/>
      <c r="K21" s="1766"/>
      <c r="L21" s="1739"/>
      <c r="M21" s="1775">
        <f>IF(ISNA(VLOOKUP($M$12,'Val-Dép'!B42:AM42,38,FALSE)),,VLOOKUP($M$12,'Val-Dép'!B42:AM42,38,FALSE))</f>
        <v>0</v>
      </c>
      <c r="N21" s="1776">
        <f>IF(ISNA(VLOOKUP($M$12,'Val-Dép'!B42:AM42,27,FALSE)),,VLOOKUP($M$12,'Val-Dép'!B42:AM42,27,FALSE))</f>
        <v>0</v>
      </c>
      <c r="O21" s="1777"/>
      <c r="P21" s="1740">
        <v>42</v>
      </c>
      <c r="Q21" s="1739"/>
      <c r="R21" s="1770"/>
      <c r="S21" s="1743"/>
      <c r="T21" s="1779"/>
      <c r="U21" s="1779"/>
      <c r="V21" s="1739"/>
    </row>
    <row r="22" spans="1:22" s="1744" customFormat="1" ht="9.9" customHeight="1" x14ac:dyDescent="0.25">
      <c r="A22" s="1739"/>
      <c r="B22" s="1759"/>
      <c r="C22" s="1771">
        <v>21</v>
      </c>
      <c r="D22" s="1739"/>
      <c r="E22" s="1773">
        <f>IF(ISNA(VLOOKUP($E$12,'Val-Dép'!B21:AA21,21,FALSE)),,VLOOKUP($E$12,'Val-Dép'!B21:AA21,21,FALSE))</f>
        <v>0</v>
      </c>
      <c r="F22" s="1774">
        <f>IF(ISNA(VLOOKUP($E$12,'Val-Dép'!AA21:AG21,6,FALSE)),,VLOOKUP($E$12,'Val-Dép'!AA21:AG21,6,FALSE))</f>
        <v>0</v>
      </c>
      <c r="G22" s="1739"/>
      <c r="H22" s="1770"/>
      <c r="I22" s="1741"/>
      <c r="J22" s="1742"/>
      <c r="K22" s="1766"/>
      <c r="L22" s="1739"/>
      <c r="M22" s="1775">
        <f>IF(ISNA(VLOOKUP($M$12,'Val-Dép'!B43:AM43,38,FALSE)),,VLOOKUP($M$12,'Val-Dép'!B43:AM43,38,FALSE))</f>
        <v>0</v>
      </c>
      <c r="N22" s="1776">
        <f>IF(ISNA(VLOOKUP($M$12,'Val-Dép'!B43:AM43,27,FALSE)),,VLOOKUP($M$12,'Val-Dép'!B43:AM43,27,FALSE))</f>
        <v>0</v>
      </c>
      <c r="O22" s="1777"/>
      <c r="P22" s="1740">
        <v>43</v>
      </c>
      <c r="Q22" s="1739"/>
      <c r="R22" s="1770"/>
      <c r="S22" s="1743"/>
      <c r="T22" s="1779"/>
      <c r="U22" s="1779"/>
      <c r="V22" s="1739"/>
    </row>
    <row r="23" spans="1:22" s="1744" customFormat="1" ht="9.9" customHeight="1" x14ac:dyDescent="0.25">
      <c r="A23" s="1739"/>
      <c r="B23" s="1759"/>
      <c r="C23" s="1771">
        <v>22</v>
      </c>
      <c r="D23" s="1739"/>
      <c r="E23" s="1773">
        <f>IF(ISNA(VLOOKUP($E$12,'Val-Dép'!B22:AA22,21,FALSE)),,VLOOKUP($E$12,'Val-Dép'!B22:AA22,21,FALSE))</f>
        <v>0</v>
      </c>
      <c r="F23" s="1774">
        <f>IF(ISNA(VLOOKUP($E$12,'Val-Dép'!AA22:AG22,6,FALSE)),,VLOOKUP($E$12,'Val-Dép'!AA22:AG22,6,FALSE))</f>
        <v>0</v>
      </c>
      <c r="G23" s="1739"/>
      <c r="H23" s="1770"/>
      <c r="I23" s="1741"/>
      <c r="J23" s="1742"/>
      <c r="K23" s="1766"/>
      <c r="L23" s="1739"/>
      <c r="M23" s="1775">
        <f>IF(ISNA(VLOOKUP($M$12,'Val-Dép'!B44:AM44,38,FALSE)),,VLOOKUP($M$12,'Val-Dép'!B44:AM44,38,FALSE))</f>
        <v>0</v>
      </c>
      <c r="N23" s="1776">
        <f>IF(ISNA(VLOOKUP($M$12,'Val-Dép'!B44:AM44,27,FALSE)),,VLOOKUP($M$12,'Val-Dép'!B44:AM44,27,FALSE))</f>
        <v>0</v>
      </c>
      <c r="O23" s="1777"/>
      <c r="P23" s="1740">
        <v>44</v>
      </c>
      <c r="Q23" s="1739"/>
      <c r="R23" s="1770"/>
      <c r="S23" s="1743"/>
      <c r="T23" s="1779"/>
      <c r="U23" s="1779"/>
      <c r="V23" s="1743"/>
    </row>
    <row r="24" spans="1:22" s="1744" customFormat="1" ht="9.9" customHeight="1" thickBot="1" x14ac:dyDescent="0.3">
      <c r="A24" s="1739"/>
      <c r="B24" s="1759"/>
      <c r="C24" s="1771">
        <v>23</v>
      </c>
      <c r="D24" s="1739"/>
      <c r="E24" s="1773">
        <f>IF(ISNA(VLOOKUP($E$12,'Val-Dép'!B23:AA23,21,FALSE)),,VLOOKUP($E$12,'Val-Dép'!B23:AA23,21,FALSE))</f>
        <v>0</v>
      </c>
      <c r="F24" s="1774">
        <f>IF(ISNA(VLOOKUP($E$12,'Val-Dép'!AA23:AG23,6,FALSE)),,VLOOKUP($E$12,'Val-Dép'!AA23:AG23,6,FALSE))</f>
        <v>0</v>
      </c>
      <c r="G24" s="1739"/>
      <c r="H24" s="1770"/>
      <c r="I24" s="1741"/>
      <c r="J24" s="1742"/>
      <c r="K24" s="1766"/>
      <c r="L24" s="1739"/>
      <c r="M24" s="1775">
        <f>IF(ISNA(VLOOKUP($M$12,'Val-Dép'!B45:AM45,38,FALSE)),,VLOOKUP($M$12,'Val-Dép'!B45:AM45,38,FALSE))</f>
        <v>0</v>
      </c>
      <c r="N24" s="1776">
        <f>IF(ISNA(VLOOKUP($M$12,'Val-Dép'!B45:AM45,27,FALSE)),,VLOOKUP($M$12,'Val-Dép'!B45:AM45,27,FALSE))</f>
        <v>0</v>
      </c>
      <c r="O24" s="1777"/>
      <c r="P24" s="1740">
        <v>45</v>
      </c>
      <c r="Q24" s="1739"/>
      <c r="R24" s="1770"/>
      <c r="S24" s="1743"/>
      <c r="T24" s="1779"/>
      <c r="U24" s="1779"/>
      <c r="V24" s="1743"/>
    </row>
    <row r="25" spans="1:22" s="1744" customFormat="1" ht="9.9" customHeight="1" x14ac:dyDescent="0.25">
      <c r="A25" s="1739"/>
      <c r="B25" s="1759"/>
      <c r="C25" s="1739"/>
      <c r="D25" s="1780"/>
      <c r="E25" s="1781">
        <f>SUM(E13:E24)</f>
        <v>0</v>
      </c>
      <c r="F25" s="1782">
        <f>SUM(F14:F24)</f>
        <v>0</v>
      </c>
      <c r="G25" s="1780"/>
      <c r="H25" s="1770"/>
      <c r="I25" s="1741"/>
      <c r="J25" s="1742"/>
      <c r="K25" s="1766"/>
      <c r="L25" s="1780"/>
      <c r="M25" s="1781">
        <f>SUM(M14:M24)</f>
        <v>0</v>
      </c>
      <c r="N25" s="1783">
        <f>SUM(N13:N24)</f>
        <v>5750</v>
      </c>
      <c r="O25" s="1784" t="s">
        <v>189</v>
      </c>
      <c r="P25" s="1785"/>
      <c r="Q25" s="1739"/>
      <c r="R25" s="1770"/>
      <c r="S25" s="1743"/>
      <c r="T25" s="1743"/>
      <c r="U25" s="1743"/>
      <c r="V25" s="1743"/>
    </row>
    <row r="26" spans="1:22" s="1744" customFormat="1" ht="9.9" customHeight="1" x14ac:dyDescent="0.25">
      <c r="A26" s="1739"/>
      <c r="B26" s="1759"/>
      <c r="C26" s="1739"/>
      <c r="D26" s="1739"/>
      <c r="E26" s="1786"/>
      <c r="F26" s="1786"/>
      <c r="G26" s="1739"/>
      <c r="H26" s="1770"/>
      <c r="I26" s="1741"/>
      <c r="J26" s="1742"/>
      <c r="K26" s="1766"/>
      <c r="L26" s="1739"/>
      <c r="M26" s="1786"/>
      <c r="N26" s="1786"/>
      <c r="O26" s="1785"/>
      <c r="P26" s="1785"/>
      <c r="Q26" s="1739"/>
      <c r="R26" s="1770"/>
      <c r="S26" s="1743"/>
      <c r="T26" s="1743"/>
      <c r="U26" s="1743"/>
      <c r="V26" s="1743"/>
    </row>
    <row r="27" spans="1:22" s="1744" customFormat="1" ht="9.9" customHeight="1" thickBot="1" x14ac:dyDescent="0.3">
      <c r="A27" s="1739"/>
      <c r="B27" s="1787"/>
      <c r="C27" s="1788"/>
      <c r="D27" s="1789" t="s">
        <v>190</v>
      </c>
      <c r="E27" s="1790">
        <f>E25-F25</f>
        <v>0</v>
      </c>
      <c r="G27" s="4167" t="s">
        <v>1935</v>
      </c>
      <c r="H27" s="4168"/>
      <c r="I27" s="1765"/>
      <c r="J27" s="1742"/>
      <c r="K27" s="1791"/>
      <c r="L27" s="1792"/>
      <c r="M27" s="1792"/>
      <c r="N27" s="1793">
        <f>(N25-M25)</f>
        <v>5750</v>
      </c>
      <c r="P27" s="1794"/>
      <c r="Q27" s="1795" t="s">
        <v>1917</v>
      </c>
      <c r="R27" s="1796"/>
      <c r="S27" s="1743"/>
      <c r="T27" s="1743"/>
      <c r="U27" s="1743"/>
      <c r="V27" s="1743"/>
    </row>
    <row r="28" spans="1:22" s="1744" customFormat="1" ht="9.9" customHeight="1" thickTop="1" x14ac:dyDescent="0.25">
      <c r="A28" s="1739"/>
      <c r="B28" s="1759"/>
      <c r="C28" s="1739"/>
      <c r="D28" s="1739"/>
      <c r="E28" s="1746" t="s">
        <v>348</v>
      </c>
      <c r="F28" s="1739"/>
      <c r="G28" s="1739"/>
      <c r="H28" s="1770"/>
      <c r="I28" s="1741"/>
      <c r="J28" s="1742"/>
      <c r="K28" s="1756"/>
      <c r="L28" s="1751"/>
      <c r="M28" s="1746" t="s">
        <v>348</v>
      </c>
      <c r="N28" s="1751"/>
      <c r="O28" s="1751"/>
      <c r="P28" s="1757"/>
      <c r="Q28" s="1751"/>
      <c r="R28" s="1755"/>
      <c r="S28" s="1743"/>
      <c r="T28" s="1743"/>
      <c r="U28" s="1743"/>
      <c r="V28" s="1743"/>
    </row>
    <row r="29" spans="1:22" s="1744" customFormat="1" ht="9.9" customHeight="1" thickBot="1" x14ac:dyDescent="0.3">
      <c r="A29" s="1739"/>
      <c r="B29" s="1759"/>
      <c r="C29" s="1739"/>
      <c r="D29" s="1752" t="s">
        <v>192</v>
      </c>
      <c r="E29" s="1753" t="str">
        <f>INDEX('Val-Dép'!B$1:B$25,MIN(IF(COUNTIF($E$11:$E$28,'Val-Dép'!$B$14:$B$25)=0,ROW($14:$25))))</f>
        <v>C00022</v>
      </c>
      <c r="F29" s="1754" t="str">
        <f>IFERROR(VLOOKUP($E$29,'Val-Dép'!$B$14:$D$23,2,FALSE),"")</f>
        <v>client02</v>
      </c>
      <c r="G29" s="1752" t="s">
        <v>191</v>
      </c>
      <c r="H29" s="1770"/>
      <c r="I29" s="1741"/>
      <c r="J29" s="1742"/>
      <c r="K29" s="1766"/>
      <c r="L29" s="1752" t="s">
        <v>192</v>
      </c>
      <c r="M29" s="1753" t="str">
        <f t="array" ref="M29">INDEX('Val-Dép'!B$1:B$45,MIN(IF(COUNTIF($M$11:$M$28,'Val-Dép'!B$35:B$45)=0,ROW($35:$45))))</f>
        <v>F0003</v>
      </c>
      <c r="N29" s="1754" t="str">
        <f>IFERROR(VLOOKUP($M$29,'Val-Dép'!$B$36:$D$45,2,FALSE),"")</f>
        <v>four03</v>
      </c>
      <c r="O29" s="1752" t="s">
        <v>191</v>
      </c>
      <c r="P29" s="1740"/>
      <c r="Q29" s="1739"/>
      <c r="R29" s="1770"/>
      <c r="S29" s="1743"/>
      <c r="T29" s="1743"/>
      <c r="U29" s="1743"/>
      <c r="V29" s="1743"/>
    </row>
    <row r="30" spans="1:22" s="1744" customFormat="1" ht="9.9" customHeight="1" x14ac:dyDescent="0.25">
      <c r="A30" s="1739"/>
      <c r="B30" s="1759"/>
      <c r="C30" s="1739"/>
      <c r="D30" s="1797" t="s">
        <v>207</v>
      </c>
      <c r="E30" s="1761">
        <f>IFERROR(VLOOKUP($E$29,'Val-Dép'!$B$12:$D$25,3,FALSE),"")</f>
        <v>0</v>
      </c>
      <c r="F30" s="1798" t="s">
        <v>224</v>
      </c>
      <c r="G30" s="1797"/>
      <c r="H30" s="1799"/>
      <c r="I30" s="1800"/>
      <c r="J30" s="1742"/>
      <c r="K30" s="1766"/>
      <c r="L30" s="1801"/>
      <c r="M30" s="1802" t="s">
        <v>208</v>
      </c>
      <c r="N30" s="1761">
        <f>IFERROR(VLOOKUP($M$29,'Val-Dép'!$B$36:$D$45,3,FALSE),"")</f>
        <v>0</v>
      </c>
      <c r="O30" s="1797" t="s">
        <v>207</v>
      </c>
      <c r="P30" s="1740"/>
      <c r="Q30" s="1739"/>
      <c r="R30" s="1770"/>
      <c r="S30" s="1743"/>
      <c r="T30" s="1743"/>
      <c r="U30" s="1743"/>
      <c r="V30" s="1743"/>
    </row>
    <row r="31" spans="1:22" s="1744" customFormat="1" ht="9.9" customHeight="1" x14ac:dyDescent="0.25">
      <c r="A31" s="1739"/>
      <c r="B31" s="1759"/>
      <c r="C31" s="1740">
        <v>13</v>
      </c>
      <c r="D31" s="1739"/>
      <c r="E31" s="1773">
        <f>IF(ISNA(VLOOKUP($E$29,'Val-Dép'!B13:AA13,21,FALSE)),,VLOOKUP($E$29,'Val-Dép'!B13:AA13,21,FALSE))</f>
        <v>0</v>
      </c>
      <c r="F31" s="1774">
        <f>IF(ISNA(VLOOKUP($E$29,'Val-Dép'!AA13:AG13,6,FALSE)),,VLOOKUP($E$29,'Val-Dép'!AA13:AG13,6,FALSE))</f>
        <v>0</v>
      </c>
      <c r="G31" s="1745"/>
      <c r="H31" s="1799"/>
      <c r="I31" s="1800"/>
      <c r="J31" s="1742"/>
      <c r="K31" s="1766"/>
      <c r="L31" s="1739"/>
      <c r="M31" s="1775">
        <f>IF(ISNA(VLOOKUP($M$29,'Val-Dép'!B35:AM35,38,FALSE)),,VLOOKUP($M$29,'Val-Dép'!B35:AM35,38,FALSE))</f>
        <v>0</v>
      </c>
      <c r="N31" s="1776">
        <f>IF(ISNA(VLOOKUP($M$29,'Val-Dép'!B35:AM35,27,FALSE)),,VLOOKUP($M$29,'Val-Dép'!B35:AM35,27,FALSE))</f>
        <v>0</v>
      </c>
      <c r="O31" s="1739"/>
      <c r="P31" s="1740">
        <v>35</v>
      </c>
      <c r="Q31" s="1739"/>
      <c r="R31" s="1770"/>
      <c r="S31" s="1743"/>
      <c r="T31" s="1743"/>
      <c r="U31" s="1743"/>
      <c r="V31" s="1743"/>
    </row>
    <row r="32" spans="1:22" s="1744" customFormat="1" ht="9.9" customHeight="1" x14ac:dyDescent="0.25">
      <c r="A32" s="1739"/>
      <c r="B32" s="1759"/>
      <c r="C32" s="1740">
        <v>14</v>
      </c>
      <c r="D32" s="1739"/>
      <c r="E32" s="1773">
        <f>IF(ISNA(VLOOKUP($E$29,'Val-Dép'!B14:AA14,21,FALSE)),,VLOOKUP($E$29,'Val-Dép'!B14:AA14,21,FALSE))</f>
        <v>0</v>
      </c>
      <c r="F32" s="1774">
        <f>IF(ISNA(VLOOKUP($E$29,'Val-Dép'!AA14:AG14,6,FALSE)),,VLOOKUP($E$29,'Val-Dép'!AA14:AG14,6,FALSE))</f>
        <v>0</v>
      </c>
      <c r="G32" s="1745"/>
      <c r="H32" s="1799"/>
      <c r="I32" s="1800"/>
      <c r="J32" s="1742"/>
      <c r="K32" s="1766"/>
      <c r="L32" s="1739"/>
      <c r="M32" s="1775">
        <f>IF(ISNA(VLOOKUP($M$29,'Val-Dép'!B36:AM36,38,FALSE)),,VLOOKUP($M$29,'Val-Dép'!B36:AM36,38,FALSE))</f>
        <v>0</v>
      </c>
      <c r="N32" s="1776">
        <f>IF(ISNA(VLOOKUP($M$29,'Val-Dép'!B36:AM36,27,FALSE)),,VLOOKUP($M$29,'Val-Dép'!B36:AM36,27,FALSE))</f>
        <v>0</v>
      </c>
      <c r="O32" s="1739"/>
      <c r="P32" s="1740">
        <v>36</v>
      </c>
      <c r="Q32" s="1739"/>
      <c r="R32" s="1770"/>
      <c r="S32" s="1743"/>
      <c r="T32" s="1743"/>
      <c r="U32" s="1743"/>
      <c r="V32" s="1743"/>
    </row>
    <row r="33" spans="1:22" s="1744" customFormat="1" ht="9.9" customHeight="1" x14ac:dyDescent="0.25">
      <c r="A33" s="1739"/>
      <c r="B33" s="1759"/>
      <c r="C33" s="1740">
        <v>15</v>
      </c>
      <c r="D33" s="1739"/>
      <c r="E33" s="1773">
        <f>IF(ISNA(VLOOKUP($E$29,'Val-Dép'!B15:AA15,21,FALSE)),,VLOOKUP($E$29,'Val-Dép'!B15:AA15,21,FALSE))</f>
        <v>0</v>
      </c>
      <c r="F33" s="1774">
        <f>IF(ISNA(VLOOKUP($E$29,'Val-Dép'!AA15:AG15,6,FALSE)),,VLOOKUP($E$29,'Val-Dép'!AA15:AG15,6,FALSE))</f>
        <v>0</v>
      </c>
      <c r="G33" s="1745"/>
      <c r="H33" s="1799"/>
      <c r="I33" s="1800"/>
      <c r="J33" s="1742"/>
      <c r="K33" s="1766"/>
      <c r="L33" s="1739"/>
      <c r="M33" s="1775">
        <f>IF(ISNA(VLOOKUP($M$29,'Val-Dép'!B37:AM37,38,FALSE)),,VLOOKUP($M$29,'Val-Dép'!B37:AM37,38,FALSE))</f>
        <v>0</v>
      </c>
      <c r="N33" s="1776">
        <f>IF(ISNA(VLOOKUP($M$29,'Val-Dép'!B37:AM37,27,FALSE)),,VLOOKUP($M$29,'Val-Dép'!B37:AM37,27,FALSE))</f>
        <v>0</v>
      </c>
      <c r="O33" s="1739"/>
      <c r="P33" s="1740">
        <v>37</v>
      </c>
      <c r="Q33" s="1739"/>
      <c r="R33" s="1770"/>
      <c r="S33" s="1743"/>
      <c r="T33" s="1743"/>
      <c r="U33" s="1743"/>
      <c r="V33" s="1743"/>
    </row>
    <row r="34" spans="1:22" s="1744" customFormat="1" ht="9.9" customHeight="1" x14ac:dyDescent="0.25">
      <c r="A34" s="1739"/>
      <c r="B34" s="1759"/>
      <c r="C34" s="1740">
        <v>16</v>
      </c>
      <c r="D34" s="1739"/>
      <c r="E34" s="1773">
        <f>IF(ISNA(VLOOKUP($E$29,'Val-Dép'!B16:AA16,21,FALSE)),,VLOOKUP($E$29,'Val-Dép'!B16:AA16,21,FALSE))</f>
        <v>0</v>
      </c>
      <c r="F34" s="1774">
        <f>IF(ISNA(VLOOKUP($E$29,'Val-Dép'!AA16:AG16,6,FALSE)),,VLOOKUP($E$29,'Val-Dép'!AA16:AG16,6,FALSE))</f>
        <v>0</v>
      </c>
      <c r="G34" s="1745"/>
      <c r="H34" s="1799"/>
      <c r="I34" s="1800"/>
      <c r="J34" s="1742"/>
      <c r="K34" s="1766"/>
      <c r="L34" s="1739"/>
      <c r="M34" s="1775">
        <f>IF(ISNA(VLOOKUP($M$29,'Val-Dép'!B38:AM38,38,FALSE)),,VLOOKUP($M$29,'Val-Dép'!B38:AM38,38,FALSE))</f>
        <v>0</v>
      </c>
      <c r="N34" s="1776">
        <f>IF(ISNA(VLOOKUP($M$29,'Val-Dép'!B38:AM38,27,FALSE)),,VLOOKUP($M$29,'Val-Dép'!B38:AM38,27,FALSE))</f>
        <v>0</v>
      </c>
      <c r="O34" s="1739"/>
      <c r="P34" s="1740">
        <v>38</v>
      </c>
      <c r="Q34" s="1739"/>
      <c r="R34" s="1770"/>
      <c r="S34" s="1743"/>
      <c r="T34" s="1743"/>
      <c r="U34" s="1743"/>
      <c r="V34" s="1743"/>
    </row>
    <row r="35" spans="1:22" s="1744" customFormat="1" ht="9.9" customHeight="1" x14ac:dyDescent="0.25">
      <c r="A35" s="1739"/>
      <c r="B35" s="1759"/>
      <c r="C35" s="1740">
        <v>17</v>
      </c>
      <c r="D35" s="1739"/>
      <c r="E35" s="1773">
        <f>IF(ISNA(VLOOKUP($E$29,'Val-Dép'!B17:AA17,21,FALSE)),,VLOOKUP($E$29,'Val-Dép'!B17:AA17,21,FALSE))</f>
        <v>0</v>
      </c>
      <c r="F35" s="1774">
        <f>IF(ISNA(VLOOKUP($E$29,'Val-Dép'!AA17:AG17,6,FALSE)),,VLOOKUP($E$29,'Val-Dép'!AA17:AG17,6,FALSE))</f>
        <v>0</v>
      </c>
      <c r="G35" s="1745"/>
      <c r="H35" s="1799"/>
      <c r="I35" s="1800"/>
      <c r="J35" s="1742"/>
      <c r="K35" s="1766"/>
      <c r="L35" s="1739"/>
      <c r="M35" s="1775">
        <f>IF(ISNA(VLOOKUP($M$29,'Val-Dép'!B39:AM39,38,FALSE)),,VLOOKUP($M$29,'Val-Dép'!B39:AM39,38,FALSE))</f>
        <v>0</v>
      </c>
      <c r="N35" s="1776">
        <f>IF(ISNA(VLOOKUP($M$29,'Val-Dép'!B39:AM39,27,FALSE)),,VLOOKUP($M$29,'Val-Dép'!B39:AM39,27,FALSE))</f>
        <v>0</v>
      </c>
      <c r="O35" s="1739"/>
      <c r="P35" s="1740">
        <v>39</v>
      </c>
      <c r="Q35" s="1739"/>
      <c r="R35" s="1770"/>
      <c r="S35" s="1743"/>
      <c r="T35" s="1743"/>
      <c r="U35" s="1743"/>
      <c r="V35" s="1743"/>
    </row>
    <row r="36" spans="1:22" s="1744" customFormat="1" ht="9.9" customHeight="1" x14ac:dyDescent="0.25">
      <c r="A36" s="1739"/>
      <c r="B36" s="1759"/>
      <c r="C36" s="1740">
        <v>18</v>
      </c>
      <c r="D36" s="1739"/>
      <c r="E36" s="1773">
        <f>IF(ISNA(VLOOKUP($E$29,'Val-Dép'!B18:AA18,21,FALSE)),,VLOOKUP($E$29,'Val-Dép'!B18:AA18,21,FALSE))</f>
        <v>0</v>
      </c>
      <c r="F36" s="1774">
        <f>IF(ISNA(VLOOKUP($E$29,'Val-Dép'!AA18:AG18,6,FALSE)),,VLOOKUP($E$29,'Val-Dép'!AA18:AG18,6,FALSE))</f>
        <v>0</v>
      </c>
      <c r="G36" s="1745"/>
      <c r="H36" s="1799"/>
      <c r="I36" s="1800"/>
      <c r="J36" s="1742"/>
      <c r="K36" s="1766"/>
      <c r="L36" s="1739"/>
      <c r="M36" s="1775">
        <f>IF(ISNA(VLOOKUP($M$29,'Val-Dép'!B40:AM40,38,FALSE)),,VLOOKUP($M$29,'Val-Dép'!B40:AM40,38,FALSE))</f>
        <v>0</v>
      </c>
      <c r="N36" s="1776">
        <f>IF(ISNA(VLOOKUP($M$29,'Val-Dép'!B40:AM40,27,FALSE)),,VLOOKUP($M$29,'Val-Dép'!B40:AM40,27,FALSE))</f>
        <v>0</v>
      </c>
      <c r="O36" s="1739"/>
      <c r="P36" s="1740">
        <v>40</v>
      </c>
      <c r="Q36" s="1739"/>
      <c r="R36" s="1770"/>
      <c r="S36" s="1743"/>
      <c r="T36" s="1743"/>
      <c r="U36" s="1743"/>
      <c r="V36" s="1743"/>
    </row>
    <row r="37" spans="1:22" s="1744" customFormat="1" ht="9.9" customHeight="1" x14ac:dyDescent="0.25">
      <c r="A37" s="1739"/>
      <c r="B37" s="1759"/>
      <c r="C37" s="1740">
        <v>19</v>
      </c>
      <c r="D37" s="1739"/>
      <c r="E37" s="1773">
        <f>IF(ISNA(VLOOKUP($E$29,'Val-Dép'!B19:AA19,21,FALSE)),,VLOOKUP($E$29,'Val-Dép'!B19:AA19,21,FALSE))</f>
        <v>0</v>
      </c>
      <c r="F37" s="1774">
        <f>IF(ISNA(VLOOKUP($E$29,'Val-Dép'!AA19:AG19,6,FALSE)),,VLOOKUP($E$29,'Val-Dép'!AA19:AG19,6,FALSE))</f>
        <v>0</v>
      </c>
      <c r="G37" s="1739"/>
      <c r="H37" s="1770"/>
      <c r="I37" s="1741"/>
      <c r="J37" s="1742"/>
      <c r="K37" s="1766"/>
      <c r="L37" s="1739"/>
      <c r="M37" s="1775">
        <f>IF(ISNA(VLOOKUP($M$29,'Val-Dép'!B41:AM41,38,FALSE)),,VLOOKUP($M$29,'Val-Dép'!B41:AM41,38,FALSE))</f>
        <v>0</v>
      </c>
      <c r="N37" s="1776">
        <f>IF(ISNA(VLOOKUP($M$29,'Val-Dép'!B41:AM41,27,FALSE)),,VLOOKUP($M$29,'Val-Dép'!B41:AM41,27,FALSE))</f>
        <v>0</v>
      </c>
      <c r="O37" s="1739"/>
      <c r="P37" s="1740">
        <v>41</v>
      </c>
      <c r="Q37" s="1739"/>
      <c r="R37" s="1770"/>
      <c r="S37" s="1743"/>
      <c r="T37" s="1743"/>
      <c r="U37" s="1743"/>
      <c r="V37" s="1743"/>
    </row>
    <row r="38" spans="1:22" s="1744" customFormat="1" ht="9.9" customHeight="1" x14ac:dyDescent="0.25">
      <c r="A38" s="1739"/>
      <c r="B38" s="1759"/>
      <c r="C38" s="1740">
        <v>20</v>
      </c>
      <c r="D38" s="1739"/>
      <c r="E38" s="1773">
        <f>IF(ISNA(VLOOKUP($E$29,'Val-Dép'!B20:AA20,21,FALSE)),,VLOOKUP($E$29,'Val-Dép'!B20:AA20,21,FALSE))</f>
        <v>0</v>
      </c>
      <c r="F38" s="1774">
        <f>IF(ISNA(VLOOKUP($E$29,'Val-Dép'!AA20:AG20,6,FALSE)),,VLOOKUP($E$29,'Val-Dép'!AA20:AG20,6,FALSE))</f>
        <v>0</v>
      </c>
      <c r="G38" s="1739"/>
      <c r="H38" s="1770"/>
      <c r="I38" s="1741"/>
      <c r="J38" s="1742"/>
      <c r="K38" s="1766"/>
      <c r="L38" s="1739"/>
      <c r="M38" s="1775">
        <f>IF(ISNA(VLOOKUP($M$29,'Val-Dép'!B42:AM42,38,FALSE)),,VLOOKUP($M$29,'Val-Dép'!B42:AM42,38,FALSE))</f>
        <v>0</v>
      </c>
      <c r="N38" s="1776">
        <f>IF(ISNA(VLOOKUP($M$29,'Val-Dép'!B42:AM42,27,FALSE)),,VLOOKUP($M$29,'Val-Dép'!B42:AM42,27,FALSE))</f>
        <v>0</v>
      </c>
      <c r="O38" s="1739"/>
      <c r="P38" s="1740">
        <v>42</v>
      </c>
      <c r="Q38" s="1739"/>
      <c r="R38" s="1770"/>
      <c r="S38" s="1743"/>
      <c r="T38" s="1743"/>
      <c r="U38" s="1743"/>
      <c r="V38" s="1743"/>
    </row>
    <row r="39" spans="1:22" s="1744" customFormat="1" ht="9.9" customHeight="1" x14ac:dyDescent="0.25">
      <c r="A39" s="1739"/>
      <c r="B39" s="1759"/>
      <c r="C39" s="1740">
        <v>21</v>
      </c>
      <c r="D39" s="1739"/>
      <c r="E39" s="1773">
        <f>IF(ISNA(VLOOKUP($E$29,'Val-Dép'!B21:AA21,21,FALSE)),,VLOOKUP($E$29,'Val-Dép'!B21:AA21,21,FALSE))</f>
        <v>0</v>
      </c>
      <c r="F39" s="1774">
        <f>IF(ISNA(VLOOKUP($E$29,'Val-Dép'!AA21:AG21,6,FALSE)),,VLOOKUP($E$29,'Val-Dép'!AA21:AG21,6,FALSE))</f>
        <v>0</v>
      </c>
      <c r="G39" s="1739"/>
      <c r="H39" s="1770"/>
      <c r="I39" s="1741"/>
      <c r="J39" s="1742"/>
      <c r="K39" s="1766"/>
      <c r="L39" s="1739"/>
      <c r="M39" s="1775">
        <f>IF(ISNA(VLOOKUP($M$29,'Val-Dép'!B43:AM43,38,FALSE)),,VLOOKUP($M$29,'Val-Dép'!B43:AM43,38,FALSE))</f>
        <v>0</v>
      </c>
      <c r="N39" s="1776">
        <f>IF(ISNA(VLOOKUP($M$29,'Val-Dép'!B43:AM43,27,FALSE)),,VLOOKUP($M$29,'Val-Dép'!B43:AM43,27,FALSE))</f>
        <v>0</v>
      </c>
      <c r="O39" s="1739"/>
      <c r="P39" s="1740">
        <v>43</v>
      </c>
      <c r="Q39" s="1739"/>
      <c r="R39" s="1770"/>
      <c r="S39" s="1743"/>
      <c r="T39" s="1743"/>
      <c r="U39" s="1743"/>
      <c r="V39" s="1743"/>
    </row>
    <row r="40" spans="1:22" s="1744" customFormat="1" ht="9.9" customHeight="1" x14ac:dyDescent="0.25">
      <c r="A40" s="1739"/>
      <c r="B40" s="1759"/>
      <c r="C40" s="1740">
        <v>22</v>
      </c>
      <c r="D40" s="1739"/>
      <c r="E40" s="1773">
        <f>IF(ISNA(VLOOKUP($E$29,'Val-Dép'!B22:AA22,21,FALSE)),,VLOOKUP($E$29,'Val-Dép'!B22:AA22,21,FALSE))</f>
        <v>0</v>
      </c>
      <c r="F40" s="1774">
        <f>IF(ISNA(VLOOKUP($E$29,'Val-Dép'!AA22:AG22,6,FALSE)),,VLOOKUP($E$29,'Val-Dép'!AA22:AG22,6,FALSE))</f>
        <v>0</v>
      </c>
      <c r="G40" s="1739"/>
      <c r="H40" s="1770"/>
      <c r="I40" s="1741"/>
      <c r="J40" s="1742"/>
      <c r="K40" s="1766"/>
      <c r="L40" s="1739"/>
      <c r="M40" s="1775">
        <f>IF(ISNA(VLOOKUP($M$29,'Val-Dép'!B44:AM44,38,FALSE)),,VLOOKUP($M$29,'Val-Dép'!B44:AM44,38,FALSE))</f>
        <v>0</v>
      </c>
      <c r="N40" s="1776">
        <f>IF(ISNA(VLOOKUP($M$29,'Val-Dép'!B44:AM44,27,FALSE)),,VLOOKUP($M$29,'Val-Dép'!B44:AM44,27,FALSE))</f>
        <v>0</v>
      </c>
      <c r="O40" s="1739"/>
      <c r="P40" s="1740">
        <v>44</v>
      </c>
      <c r="Q40" s="1739"/>
      <c r="R40" s="1770"/>
      <c r="S40" s="1743"/>
      <c r="T40" s="1743"/>
      <c r="U40" s="1743"/>
      <c r="V40" s="1743"/>
    </row>
    <row r="41" spans="1:22" s="1744" customFormat="1" ht="9.9" customHeight="1" thickBot="1" x14ac:dyDescent="0.3">
      <c r="A41" s="1739"/>
      <c r="B41" s="1759"/>
      <c r="C41" s="1740">
        <v>23</v>
      </c>
      <c r="D41" s="1739"/>
      <c r="E41" s="1773">
        <f>IF(ISNA(VLOOKUP($E$29,'Val-Dép'!B23:AA23,21,FALSE)),,VLOOKUP($E$29,'Val-Dép'!B23:AA23,21,FALSE))</f>
        <v>0</v>
      </c>
      <c r="F41" s="1774">
        <f>IF(ISNA(VLOOKUP($E$29,'Val-Dép'!AA23:AG23,6,FALSE)),,VLOOKUP($E$29,'Val-Dép'!AA23:AG23,6,FALSE))</f>
        <v>0</v>
      </c>
      <c r="G41" s="1739"/>
      <c r="H41" s="1770"/>
      <c r="I41" s="1741"/>
      <c r="J41" s="1742"/>
      <c r="K41" s="1766"/>
      <c r="L41" s="1739"/>
      <c r="M41" s="1775">
        <f>IF(ISNA(VLOOKUP($M$29,'Val-Dép'!B45:AM45,38,FALSE)),,VLOOKUP($M$29,'Val-Dép'!B45:AM45,38,FALSE))</f>
        <v>0</v>
      </c>
      <c r="N41" s="1776">
        <f>IF(ISNA(VLOOKUP($M$29,'Val-Dép'!B45:AM45,27,FALSE)),,VLOOKUP($M$29,'Val-Dép'!B45:AM45,27,FALSE))</f>
        <v>0</v>
      </c>
      <c r="O41" s="1739"/>
      <c r="P41" s="1740">
        <v>45</v>
      </c>
      <c r="Q41" s="1739"/>
      <c r="R41" s="1770"/>
      <c r="S41" s="1743"/>
      <c r="T41" s="1743"/>
      <c r="U41" s="1743"/>
      <c r="V41" s="1743"/>
    </row>
    <row r="42" spans="1:22" s="1744" customFormat="1" ht="9.9" customHeight="1" x14ac:dyDescent="0.25">
      <c r="A42" s="1739"/>
      <c r="B42" s="1759"/>
      <c r="C42" s="1739"/>
      <c r="D42" s="1780"/>
      <c r="E42" s="1803">
        <f>SUM(E30:E41)</f>
        <v>0</v>
      </c>
      <c r="F42" s="1782">
        <f>SUM(F31:F41)</f>
        <v>0</v>
      </c>
      <c r="G42" s="1780"/>
      <c r="H42" s="1770"/>
      <c r="I42" s="1741"/>
      <c r="J42" s="1742"/>
      <c r="K42" s="1766"/>
      <c r="L42" s="1780"/>
      <c r="M42" s="1781">
        <f>SUM(M31:M41)</f>
        <v>0</v>
      </c>
      <c r="N42" s="1783">
        <f>SUM(N29:N41)</f>
        <v>0</v>
      </c>
      <c r="O42" s="1784" t="s">
        <v>189</v>
      </c>
      <c r="P42" s="1785"/>
      <c r="Q42" s="1739"/>
      <c r="R42" s="1770"/>
      <c r="S42" s="1743"/>
      <c r="T42" s="1743"/>
      <c r="U42" s="1743"/>
      <c r="V42" s="1743"/>
    </row>
    <row r="43" spans="1:22" s="1744" customFormat="1" ht="9.9" customHeight="1" thickBot="1" x14ac:dyDescent="0.3">
      <c r="A43" s="1739"/>
      <c r="B43" s="1804"/>
      <c r="C43" s="1792"/>
      <c r="D43" s="1792" t="s">
        <v>190</v>
      </c>
      <c r="E43" s="1805">
        <f>E42-F42</f>
        <v>0</v>
      </c>
      <c r="F43" s="1806" t="s">
        <v>1934</v>
      </c>
      <c r="G43" s="1806"/>
      <c r="H43" s="1807"/>
      <c r="I43" s="1741"/>
      <c r="J43" s="1742"/>
      <c r="K43" s="1791"/>
      <c r="L43" s="1792"/>
      <c r="M43" s="1792"/>
      <c r="N43" s="1793">
        <f>(N42-M42)</f>
        <v>0</v>
      </c>
      <c r="O43" s="4171" t="s">
        <v>344</v>
      </c>
      <c r="P43" s="4169"/>
      <c r="Q43" s="4169"/>
      <c r="R43" s="4170"/>
      <c r="S43" s="1743"/>
      <c r="T43" s="1743"/>
      <c r="U43" s="1743"/>
      <c r="V43" s="1743"/>
    </row>
    <row r="44" spans="1:22" s="1744" customFormat="1" ht="9.9" customHeight="1" thickTop="1" x14ac:dyDescent="0.25">
      <c r="A44" s="1739"/>
      <c r="B44" s="1750"/>
      <c r="C44" s="1751"/>
      <c r="D44" s="1751"/>
      <c r="E44" s="1746" t="s">
        <v>348</v>
      </c>
      <c r="F44" s="1751"/>
      <c r="G44" s="1751"/>
      <c r="H44" s="1755"/>
      <c r="I44" s="1741"/>
      <c r="J44" s="1742"/>
      <c r="K44" s="1756"/>
      <c r="L44" s="1751"/>
      <c r="M44" s="1746" t="s">
        <v>348</v>
      </c>
      <c r="N44" s="1751"/>
      <c r="O44" s="1751"/>
      <c r="P44" s="1757"/>
      <c r="Q44" s="1751"/>
      <c r="R44" s="1755"/>
      <c r="S44" s="1743"/>
      <c r="T44" s="1743"/>
      <c r="U44" s="1743"/>
      <c r="V44" s="1743"/>
    </row>
    <row r="45" spans="1:22" s="1744" customFormat="1" ht="9.9" customHeight="1" thickBot="1" x14ac:dyDescent="0.3">
      <c r="A45" s="1739"/>
      <c r="B45" s="1759"/>
      <c r="C45" s="1739"/>
      <c r="D45" s="1752" t="s">
        <v>192</v>
      </c>
      <c r="E45" s="1753" t="str">
        <f t="array" ref="E45">INDEX('Val-Dép'!B$1:B$25,MIN(IF(COUNTIF($E$11:$E$44,'Val-Dép'!B$13:B$25)=0,ROW($13:$25))))</f>
        <v>C00033</v>
      </c>
      <c r="F45" s="1754">
        <f>IFERROR(VLOOKUP($E$45,'Val-Dép'!$B$13:$D$23,2,FALSE),"")</f>
        <v>0</v>
      </c>
      <c r="G45" s="1752" t="s">
        <v>191</v>
      </c>
      <c r="H45" s="1770"/>
      <c r="I45" s="1741"/>
      <c r="J45" s="1742"/>
      <c r="K45" s="1766"/>
      <c r="L45" s="1752" t="s">
        <v>192</v>
      </c>
      <c r="M45" s="1753" t="str">
        <f t="array" ref="M45">INDEX('Val-Dép'!B$1:B$45,MIN(IF(COUNTIF($M$11:$M$44,'Val-Dép'!$B$35:$B$45)=0,ROW($35:$45))))</f>
        <v>F0004</v>
      </c>
      <c r="N45" s="1754">
        <f>IFERROR(VLOOKUP($M$45,'Val-Dép'!$B$35:$D$45,2,FALSE),"")</f>
        <v>0</v>
      </c>
      <c r="O45" s="1752" t="s">
        <v>191</v>
      </c>
      <c r="P45" s="1740"/>
      <c r="Q45" s="1739"/>
      <c r="R45" s="1770"/>
      <c r="S45" s="1743"/>
      <c r="T45" s="1743"/>
      <c r="U45" s="1743"/>
      <c r="V45" s="1743"/>
    </row>
    <row r="46" spans="1:22" s="1744" customFormat="1" ht="9.9" customHeight="1" x14ac:dyDescent="0.25">
      <c r="A46" s="1739"/>
      <c r="B46" s="1759"/>
      <c r="C46" s="1739"/>
      <c r="D46" s="1797" t="s">
        <v>207</v>
      </c>
      <c r="E46" s="1761">
        <f>IFERROR(VLOOKUP($E$45,'Val-Dép'!$B$12:$D$19,3,FALSE),"")</f>
        <v>0</v>
      </c>
      <c r="F46" s="1798" t="s">
        <v>211</v>
      </c>
      <c r="G46" s="1801"/>
      <c r="H46" s="1770"/>
      <c r="I46" s="1741"/>
      <c r="J46" s="1742"/>
      <c r="K46" s="1766"/>
      <c r="L46" s="1801"/>
      <c r="M46" s="1802" t="s">
        <v>208</v>
      </c>
      <c r="N46" s="1761">
        <f>IFERROR(VLOOKUP($M$45,'Val-Dép'!$B$37:$D$45,3,FALSE),"")</f>
        <v>0</v>
      </c>
      <c r="O46" s="1797" t="s">
        <v>207</v>
      </c>
      <c r="P46" s="1740"/>
      <c r="Q46" s="1739"/>
      <c r="R46" s="1770"/>
      <c r="S46" s="1743"/>
      <c r="T46" s="1743"/>
      <c r="U46" s="1743"/>
      <c r="V46" s="1743"/>
    </row>
    <row r="47" spans="1:22" s="1744" customFormat="1" ht="9.9" customHeight="1" x14ac:dyDescent="0.25">
      <c r="A47" s="1739"/>
      <c r="B47" s="1759"/>
      <c r="C47" s="1740">
        <v>13</v>
      </c>
      <c r="D47" s="1745"/>
      <c r="E47" s="1773">
        <f>IF(ISNA(VLOOKUP(E$45,'Val-Dép'!B13:AA13,21,FALSE)),,VLOOKUP(E$45,'Val-Dép'!B13:AA13,21,FALSE))</f>
        <v>0</v>
      </c>
      <c r="F47" s="1774">
        <f>IF(ISNA(VLOOKUP($E$45,'Val-Dép'!AA13:AG13,6,FALSE)),,VLOOKUP($E$45,'Val-Dép'!AA13:AG13,6,FALSE))</f>
        <v>0</v>
      </c>
      <c r="G47" s="1739"/>
      <c r="H47" s="1770"/>
      <c r="I47" s="1741"/>
      <c r="J47" s="1742"/>
      <c r="K47" s="1766"/>
      <c r="L47" s="1739"/>
      <c r="M47" s="1775">
        <f>IF(ISNA(VLOOKUP($M$45,'Val-Dép'!B35:AM35,38,FALSE)),,VLOOKUP($M$45,'Val-Dép'!B35:AM35,38,FALSE))</f>
        <v>0</v>
      </c>
      <c r="N47" s="1776">
        <f>IF(ISNA(VLOOKUP($M$45,'Val-Dép'!B35:AM35,27,FALSE)),,VLOOKUP($M$45,'Val-Dép'!B35:AM35,27,FALSE))</f>
        <v>0</v>
      </c>
      <c r="O47" s="1745"/>
      <c r="P47" s="1740">
        <v>35</v>
      </c>
      <c r="Q47" s="1739"/>
      <c r="R47" s="1770"/>
      <c r="S47" s="1743"/>
      <c r="T47" s="1743"/>
      <c r="U47" s="1743"/>
      <c r="V47" s="1743"/>
    </row>
    <row r="48" spans="1:22" s="1744" customFormat="1" ht="9.9" customHeight="1" x14ac:dyDescent="0.25">
      <c r="A48" s="1739"/>
      <c r="B48" s="1759"/>
      <c r="C48" s="1740">
        <v>14</v>
      </c>
      <c r="D48" s="1745"/>
      <c r="E48" s="1773">
        <f>IF(ISNA(VLOOKUP(E$45,'Val-Dép'!B14:AA14,21,FALSE)),,VLOOKUP(E$45,'Val-Dép'!B14:AA14,21,FALSE))</f>
        <v>0</v>
      </c>
      <c r="F48" s="1774">
        <f>IF(ISNA(VLOOKUP($E$45,'Val-Dép'!AA14:AG14,6,FALSE)),,VLOOKUP($E$45,'Val-Dép'!AA14:AG14,6,FALSE))</f>
        <v>0</v>
      </c>
      <c r="G48" s="1739"/>
      <c r="H48" s="1770"/>
      <c r="I48" s="1741"/>
      <c r="J48" s="1742"/>
      <c r="K48" s="1766"/>
      <c r="L48" s="1739"/>
      <c r="M48" s="1775">
        <f>IF(ISNA(VLOOKUP($M$45,'Val-Dép'!B36:AM36,38,FALSE)),,VLOOKUP($M$45,'Val-Dép'!B36:AM36,38,FALSE))</f>
        <v>0</v>
      </c>
      <c r="N48" s="1776">
        <f>IF(ISNA(VLOOKUP($M$45,'Val-Dép'!B36:AM36,27,FALSE)),,VLOOKUP($M$45,'Val-Dép'!B36:AM36,27,FALSE))</f>
        <v>0</v>
      </c>
      <c r="O48" s="1745"/>
      <c r="P48" s="1740">
        <v>36</v>
      </c>
      <c r="Q48" s="1739"/>
      <c r="R48" s="1770"/>
      <c r="S48" s="1743"/>
      <c r="T48" s="1743"/>
      <c r="U48" s="1743"/>
      <c r="V48" s="1743"/>
    </row>
    <row r="49" spans="1:22" s="1744" customFormat="1" ht="9.9" customHeight="1" x14ac:dyDescent="0.25">
      <c r="A49" s="1739"/>
      <c r="B49" s="1759"/>
      <c r="C49" s="1740">
        <v>15</v>
      </c>
      <c r="D49" s="1745"/>
      <c r="E49" s="1773">
        <f>IF(ISNA(VLOOKUP(E$45,'Val-Dép'!B15:AA15,21,FALSE)),,VLOOKUP(E$45,'Val-Dép'!B15:AA15,21,FALSE))</f>
        <v>0</v>
      </c>
      <c r="F49" s="1774">
        <f>IF(ISNA(VLOOKUP($E$45,'Val-Dép'!AA15:AG15,6,FALSE)),,VLOOKUP($E$45,'Val-Dép'!AA15:AG15,6,FALSE))</f>
        <v>0</v>
      </c>
      <c r="G49" s="1739"/>
      <c r="H49" s="1770"/>
      <c r="I49" s="1741"/>
      <c r="J49" s="1742"/>
      <c r="K49" s="1766"/>
      <c r="L49" s="1739"/>
      <c r="M49" s="1775">
        <f>IF(ISNA(VLOOKUP($M$45,'Val-Dép'!B37:AM37,38,FALSE)),,VLOOKUP($M$45,'Val-Dép'!B37:AM37,38,FALSE))</f>
        <v>0</v>
      </c>
      <c r="N49" s="1776">
        <f>IF(ISNA(VLOOKUP($M$45,'Val-Dép'!B37:AM37,27,FALSE)),,VLOOKUP($M$45,'Val-Dép'!B37:AM37,27,FALSE))</f>
        <v>0</v>
      </c>
      <c r="O49" s="1745"/>
      <c r="P49" s="1740">
        <v>37</v>
      </c>
      <c r="Q49" s="1739"/>
      <c r="R49" s="1770"/>
      <c r="S49" s="1743"/>
      <c r="T49" s="1743"/>
      <c r="U49" s="1743"/>
      <c r="V49" s="1743"/>
    </row>
    <row r="50" spans="1:22" s="1744" customFormat="1" ht="9.9" customHeight="1" x14ac:dyDescent="0.25">
      <c r="A50" s="1739"/>
      <c r="B50" s="1759"/>
      <c r="C50" s="1740">
        <v>16</v>
      </c>
      <c r="D50" s="1745"/>
      <c r="E50" s="1773">
        <f>IF(ISNA(VLOOKUP(E$45,'Val-Dép'!B16:AA16,21,FALSE)),,VLOOKUP(E$45,'Val-Dép'!B16:AA16,21,FALSE))</f>
        <v>0</v>
      </c>
      <c r="F50" s="1774">
        <f>IF(ISNA(VLOOKUP($E$45,'Val-Dép'!AA16:AG16,6,FALSE)),,VLOOKUP($E$45,'Val-Dép'!AA16:AG16,6,FALSE))</f>
        <v>0</v>
      </c>
      <c r="G50" s="1739"/>
      <c r="H50" s="1770"/>
      <c r="I50" s="1741"/>
      <c r="J50" s="1742"/>
      <c r="K50" s="1766"/>
      <c r="L50" s="1739"/>
      <c r="M50" s="1775">
        <f>IF(ISNA(VLOOKUP($M$45,'Val-Dép'!B38:AM38,38,FALSE)),,VLOOKUP($M$45,'Val-Dép'!B38:AM38,38,FALSE))</f>
        <v>0</v>
      </c>
      <c r="N50" s="1776">
        <f>IF(ISNA(VLOOKUP($M$45,'Val-Dép'!B38:AM38,27,FALSE)),,VLOOKUP($M$45,'Val-Dép'!B38:AM38,27,FALSE))</f>
        <v>0</v>
      </c>
      <c r="O50" s="1745"/>
      <c r="P50" s="1740">
        <v>38</v>
      </c>
      <c r="Q50" s="1739"/>
      <c r="R50" s="1770"/>
      <c r="S50" s="1743"/>
      <c r="T50" s="1743"/>
      <c r="U50" s="1743"/>
      <c r="V50" s="1743"/>
    </row>
    <row r="51" spans="1:22" s="1744" customFormat="1" ht="9.9" customHeight="1" x14ac:dyDescent="0.25">
      <c r="A51" s="1739"/>
      <c r="B51" s="1808"/>
      <c r="C51" s="1740">
        <v>17</v>
      </c>
      <c r="D51" s="1745"/>
      <c r="E51" s="1773">
        <f>IF(ISNA(VLOOKUP(E$45,'Val-Dép'!B17:AA17,21,FALSE)),,VLOOKUP(E$45,'Val-Dép'!B17:AA17,21,FALSE))</f>
        <v>0</v>
      </c>
      <c r="F51" s="1774">
        <f>IF(ISNA(VLOOKUP($E$45,'Val-Dép'!AA17:AG17,6,FALSE)),,VLOOKUP($E$45,'Val-Dép'!AA17:AG17,6,FALSE))</f>
        <v>0</v>
      </c>
      <c r="G51" s="1745"/>
      <c r="H51" s="1799"/>
      <c r="I51" s="1800"/>
      <c r="J51" s="1742"/>
      <c r="K51" s="1766"/>
      <c r="L51" s="1739"/>
      <c r="M51" s="1775">
        <f>IF(ISNA(VLOOKUP($M$45,'Val-Dép'!B39:AM39,38,FALSE)),,VLOOKUP($M$45,'Val-Dép'!B39:AM39,38,FALSE))</f>
        <v>0</v>
      </c>
      <c r="N51" s="1776">
        <f>IF(ISNA(VLOOKUP($M$45,'Val-Dép'!B39:AM39,27,FALSE)),,VLOOKUP($M$45,'Val-Dép'!B39:AM39,27,FALSE))</f>
        <v>0</v>
      </c>
      <c r="O51" s="1739"/>
      <c r="P51" s="1740">
        <v>39</v>
      </c>
      <c r="Q51" s="1739"/>
      <c r="R51" s="1770"/>
      <c r="S51" s="1743"/>
      <c r="T51" s="1743"/>
      <c r="U51" s="1743"/>
      <c r="V51" s="1743"/>
    </row>
    <row r="52" spans="1:22" s="1744" customFormat="1" ht="9.9" customHeight="1" x14ac:dyDescent="0.25">
      <c r="A52" s="1739"/>
      <c r="B52" s="1759"/>
      <c r="C52" s="1740">
        <v>18</v>
      </c>
      <c r="D52" s="1739"/>
      <c r="E52" s="1773">
        <f>IF(ISNA(VLOOKUP(E$45,'Val-Dép'!B18:AA18,21,FALSE)),,VLOOKUP(E$45,'Val-Dép'!B18:AA18,21,FALSE))</f>
        <v>0</v>
      </c>
      <c r="F52" s="1774">
        <f>IF(ISNA(VLOOKUP($E$45,'Val-Dép'!AA18:AG18,6,FALSE)),,VLOOKUP($E$45,'Val-Dép'!AA18:AG18,6,FALSE))</f>
        <v>0</v>
      </c>
      <c r="G52" s="1739"/>
      <c r="H52" s="1770"/>
      <c r="I52" s="1741"/>
      <c r="J52" s="1742"/>
      <c r="K52" s="1766"/>
      <c r="L52" s="1739"/>
      <c r="M52" s="1775">
        <f>IF(ISNA(VLOOKUP($M$45,'Val-Dép'!B40:AM40,38,FALSE)),,VLOOKUP($M$45,'Val-Dép'!B40:AM40,38,FALSE))</f>
        <v>0</v>
      </c>
      <c r="N52" s="1776">
        <f>IF(ISNA(VLOOKUP($M$45,'Val-Dép'!B40:AM40,27,FALSE)),,VLOOKUP($M$45,'Val-Dép'!B40:AM40,27,FALSE))</f>
        <v>0</v>
      </c>
      <c r="O52" s="1739"/>
      <c r="P52" s="1740">
        <v>40</v>
      </c>
      <c r="Q52" s="1739"/>
      <c r="R52" s="1770"/>
      <c r="S52" s="1743"/>
      <c r="T52" s="1743"/>
      <c r="U52" s="1743"/>
      <c r="V52" s="1743"/>
    </row>
    <row r="53" spans="1:22" s="1744" customFormat="1" ht="9.9" customHeight="1" x14ac:dyDescent="0.25">
      <c r="A53" s="1739"/>
      <c r="B53" s="1759"/>
      <c r="C53" s="1740">
        <v>19</v>
      </c>
      <c r="D53" s="1739"/>
      <c r="E53" s="1773">
        <f>IF(ISNA(VLOOKUP(E$45,'Val-Dép'!B19:AA19,21,FALSE)),,VLOOKUP(E$45,'Val-Dép'!B19:AA19,21,FALSE))</f>
        <v>0</v>
      </c>
      <c r="F53" s="1774">
        <f>IF(ISNA(VLOOKUP($E$45,'Val-Dép'!AA19:AG19,6,FALSE)),,VLOOKUP($E$45,'Val-Dép'!AA19:AG19,6,FALSE))</f>
        <v>0</v>
      </c>
      <c r="G53" s="1739"/>
      <c r="H53" s="1770"/>
      <c r="I53" s="1741"/>
      <c r="J53" s="1742"/>
      <c r="K53" s="1766"/>
      <c r="L53" s="1739"/>
      <c r="M53" s="1775">
        <f>IF(ISNA(VLOOKUP($M$45,'Val-Dép'!B41:AM41,38,FALSE)),,VLOOKUP($M$45,'Val-Dép'!B41:AM41,38,FALSE))</f>
        <v>0</v>
      </c>
      <c r="N53" s="1776">
        <f>IF(ISNA(VLOOKUP($M$45,'Val-Dép'!B41:AM41,27,FALSE)),,VLOOKUP($M$45,'Val-Dép'!B41:AM41,27,FALSE))</f>
        <v>0</v>
      </c>
      <c r="O53" s="1739"/>
      <c r="P53" s="1740">
        <v>41</v>
      </c>
      <c r="Q53" s="1739"/>
      <c r="R53" s="1770"/>
      <c r="S53" s="1743"/>
      <c r="T53" s="1743"/>
      <c r="U53" s="1743"/>
      <c r="V53" s="1743"/>
    </row>
    <row r="54" spans="1:22" s="1744" customFormat="1" ht="9.9" customHeight="1" x14ac:dyDescent="0.25">
      <c r="A54" s="1739"/>
      <c r="B54" s="1759"/>
      <c r="C54" s="1740">
        <v>20</v>
      </c>
      <c r="D54" s="1739"/>
      <c r="E54" s="1773">
        <f>IF(ISNA(VLOOKUP(E$45,'Val-Dép'!B20:AA20,21,FALSE)),,VLOOKUP(E$45,'Val-Dép'!B20:AA20,21,FALSE))</f>
        <v>0</v>
      </c>
      <c r="F54" s="1774">
        <f>IF(ISNA(VLOOKUP($E$45,'Val-Dép'!AA20:AG20,6,FALSE)),,VLOOKUP($E$45,'Val-Dép'!AA20:AG20,6,FALSE))</f>
        <v>0</v>
      </c>
      <c r="G54" s="1739"/>
      <c r="H54" s="1770"/>
      <c r="I54" s="1741"/>
      <c r="J54" s="1742"/>
      <c r="K54" s="1766"/>
      <c r="L54" s="1739"/>
      <c r="M54" s="1775">
        <f>IF(ISNA(VLOOKUP($M$45,'Val-Dép'!B42:AM42,38,FALSE)),,VLOOKUP($M$45,'Val-Dép'!B42:AM42,38,FALSE))</f>
        <v>0</v>
      </c>
      <c r="N54" s="1776">
        <f>IF(ISNA(VLOOKUP($M$45,'Val-Dép'!B42:AM42,27,FALSE)),,VLOOKUP($M$45,'Val-Dép'!B42:AM42,27,FALSE))</f>
        <v>0</v>
      </c>
      <c r="O54" s="1739"/>
      <c r="P54" s="1740">
        <v>42</v>
      </c>
      <c r="Q54" s="1739"/>
      <c r="R54" s="1770"/>
      <c r="S54" s="1743"/>
      <c r="T54" s="1743"/>
      <c r="U54" s="1743"/>
      <c r="V54" s="1743"/>
    </row>
    <row r="55" spans="1:22" s="1744" customFormat="1" ht="9.9" customHeight="1" x14ac:dyDescent="0.25">
      <c r="A55" s="1739"/>
      <c r="B55" s="1759"/>
      <c r="C55" s="1740">
        <v>21</v>
      </c>
      <c r="D55" s="1739"/>
      <c r="E55" s="1773">
        <f>IF(ISNA(VLOOKUP(E$45,'Val-Dép'!B21:AA21,21,FALSE)),,VLOOKUP(E$45,'Val-Dép'!B21:AA21,21,FALSE))</f>
        <v>0</v>
      </c>
      <c r="F55" s="1774">
        <f>IF(ISNA(VLOOKUP($E$45,'Val-Dép'!AA21:AG21,6,FALSE)),,VLOOKUP($E$45,'Val-Dép'!AA21:AG21,6,FALSE))</f>
        <v>0</v>
      </c>
      <c r="G55" s="1739"/>
      <c r="H55" s="1770"/>
      <c r="I55" s="1741"/>
      <c r="J55" s="1742"/>
      <c r="K55" s="1766"/>
      <c r="L55" s="1739"/>
      <c r="M55" s="1775">
        <f>IF(ISNA(VLOOKUP($M$45,'Val-Dép'!B43:AM43,38,FALSE)),,VLOOKUP($M$45,'Val-Dép'!B43:AM43,38,FALSE))</f>
        <v>0</v>
      </c>
      <c r="N55" s="1776">
        <f>IF(ISNA(VLOOKUP($M$45,'Val-Dép'!B43:AM43,27,FALSE)),,VLOOKUP($M$45,'Val-Dép'!B43:AM43,27,FALSE))</f>
        <v>0</v>
      </c>
      <c r="O55" s="1739"/>
      <c r="P55" s="1740">
        <v>43</v>
      </c>
      <c r="Q55" s="1739"/>
      <c r="R55" s="1770"/>
      <c r="S55" s="1743"/>
      <c r="T55" s="1743"/>
      <c r="U55" s="1743"/>
      <c r="V55" s="1743"/>
    </row>
    <row r="56" spans="1:22" s="1744" customFormat="1" ht="9.9" customHeight="1" thickBot="1" x14ac:dyDescent="0.3">
      <c r="A56" s="1739"/>
      <c r="B56" s="1759"/>
      <c r="C56" s="1740">
        <v>22</v>
      </c>
      <c r="D56" s="1739"/>
      <c r="E56" s="1773">
        <f>IF(ISNA(VLOOKUP(E$45,'Val-Dép'!B22:AA22,21,FALSE)),,VLOOKUP(E$45,'Val-Dép'!B22:AA22,21,FALSE))</f>
        <v>0</v>
      </c>
      <c r="F56" s="1774">
        <f>IF(ISNA(VLOOKUP($E$45,'Val-Dép'!AA22:AG22,6,FALSE)),,VLOOKUP($E$45,'Val-Dép'!AA22:AG22,6,FALSE))</f>
        <v>0</v>
      </c>
      <c r="G56" s="1739"/>
      <c r="H56" s="1770"/>
      <c r="I56" s="1741"/>
      <c r="J56" s="1742"/>
      <c r="K56" s="1766"/>
      <c r="L56" s="1739"/>
      <c r="M56" s="1775">
        <f>IF(ISNA(VLOOKUP($M$45,'Val-Dép'!B44:AM44,38,FALSE)),,VLOOKUP($M$45,'Val-Dép'!B44:AM44,38,FALSE))</f>
        <v>0</v>
      </c>
      <c r="N56" s="1776">
        <f>IF(ISNA(VLOOKUP($M$45,'Val-Dép'!B44:AM44,27,FALSE)),,VLOOKUP($M$45,'Val-Dép'!B44:AM44,27,FALSE))</f>
        <v>0</v>
      </c>
      <c r="O56" s="1739"/>
      <c r="P56" s="1740">
        <v>44</v>
      </c>
      <c r="Q56" s="1739"/>
      <c r="R56" s="1770"/>
      <c r="S56" s="1743"/>
      <c r="T56" s="1743"/>
      <c r="U56" s="1743"/>
      <c r="V56" s="1743"/>
    </row>
    <row r="57" spans="1:22" s="1744" customFormat="1" ht="9.9" customHeight="1" x14ac:dyDescent="0.25">
      <c r="A57" s="1739"/>
      <c r="B57" s="1759"/>
      <c r="C57" s="1740">
        <v>23</v>
      </c>
      <c r="D57" s="1780"/>
      <c r="E57" s="1803">
        <f>SUM(E46:E56)</f>
        <v>0</v>
      </c>
      <c r="F57" s="1782">
        <f>SUM(F47:F56)</f>
        <v>0</v>
      </c>
      <c r="G57" s="1780"/>
      <c r="H57" s="1770"/>
      <c r="I57" s="1741"/>
      <c r="J57" s="1742"/>
      <c r="K57" s="1766"/>
      <c r="L57" s="1780"/>
      <c r="M57" s="1781">
        <f>SUM(M47:M56)</f>
        <v>0</v>
      </c>
      <c r="N57" s="1783">
        <f>SUM(N46:N56)</f>
        <v>0</v>
      </c>
      <c r="O57" s="1780"/>
      <c r="P57" s="1740">
        <v>45</v>
      </c>
      <c r="Q57" s="1739"/>
      <c r="R57" s="1770"/>
      <c r="S57" s="1743"/>
      <c r="T57" s="1743"/>
      <c r="U57" s="1743"/>
      <c r="V57" s="1743"/>
    </row>
    <row r="58" spans="1:22" s="1744" customFormat="1" ht="9.9" customHeight="1" thickBot="1" x14ac:dyDescent="0.3">
      <c r="A58" s="1739"/>
      <c r="B58" s="1804"/>
      <c r="C58" s="1792"/>
      <c r="D58" s="1792"/>
      <c r="E58" s="1805">
        <f>E57-F57</f>
        <v>0</v>
      </c>
      <c r="F58" s="4169" t="s">
        <v>1933</v>
      </c>
      <c r="G58" s="4169"/>
      <c r="H58" s="4170"/>
      <c r="I58" s="1741"/>
      <c r="J58" s="1742"/>
      <c r="K58" s="1791"/>
      <c r="L58" s="1792"/>
      <c r="M58" s="1792"/>
      <c r="N58" s="1793">
        <f>(N57-M57)</f>
        <v>0</v>
      </c>
      <c r="O58" s="1809" t="s">
        <v>189</v>
      </c>
      <c r="P58" s="4172" t="s">
        <v>345</v>
      </c>
      <c r="Q58" s="4172"/>
      <c r="R58" s="4173"/>
      <c r="S58" s="1743"/>
      <c r="T58" s="1743"/>
      <c r="U58" s="1743"/>
      <c r="V58" s="1743"/>
    </row>
    <row r="59" spans="1:22" s="1744" customFormat="1" ht="9.9" customHeight="1" thickTop="1" x14ac:dyDescent="0.25">
      <c r="A59" s="1739"/>
      <c r="B59" s="1750"/>
      <c r="C59" s="1810"/>
      <c r="D59" s="1811"/>
      <c r="E59" s="1746" t="s">
        <v>348</v>
      </c>
      <c r="F59" s="1811"/>
      <c r="G59" s="1811"/>
      <c r="H59" s="1812"/>
      <c r="I59" s="1741"/>
      <c r="J59" s="1742"/>
      <c r="K59" s="1756"/>
      <c r="L59" s="1751"/>
      <c r="M59" s="1746" t="s">
        <v>348</v>
      </c>
      <c r="N59" s="1751"/>
      <c r="O59" s="1751"/>
      <c r="P59" s="1757"/>
      <c r="Q59" s="1751"/>
      <c r="R59" s="1755"/>
      <c r="S59" s="1743"/>
      <c r="T59" s="1743"/>
      <c r="U59" s="1743"/>
      <c r="V59" s="1743"/>
    </row>
    <row r="60" spans="1:22" s="1744" customFormat="1" ht="9.9" customHeight="1" thickBot="1" x14ac:dyDescent="0.3">
      <c r="A60" s="1739"/>
      <c r="B60" s="1759"/>
      <c r="C60" s="1772"/>
      <c r="D60" s="1752" t="s">
        <v>192</v>
      </c>
      <c r="E60" s="1753" t="str">
        <f t="array" ref="E60">INDEX('Val-Dép'!B$1:B$25,MIN(IF(COUNTIF($E$11:$E$59,'Val-Dép'!B$13:B$25)=0,ROW($13:$25))))</f>
        <v>C00044</v>
      </c>
      <c r="F60" s="1754">
        <f>IFERROR(VLOOKUP($E$60,'Val-Dép'!$B$13:$D$23,2,FALSE),"")</f>
        <v>0</v>
      </c>
      <c r="G60" s="1752" t="s">
        <v>191</v>
      </c>
      <c r="H60" s="1764"/>
      <c r="I60" s="1741"/>
      <c r="J60" s="1742"/>
      <c r="K60" s="1766"/>
      <c r="L60" s="1752" t="s">
        <v>192</v>
      </c>
      <c r="M60" s="1753">
        <f t="array" ref="M60">INDEX('Val-Dép'!B$1:B$45,MIN(IF(COUNTIF($M$11:$M$59,'Val-Dép'!B$35:B$45)=0,ROW($35:$45))))</f>
        <v>0</v>
      </c>
      <c r="N60" s="1754" t="str">
        <f>IFERROR(VLOOKUP($M$60,'Val-Dép'!$B$35:$D$45,2,FALSE),"")</f>
        <v/>
      </c>
      <c r="O60" s="1752" t="s">
        <v>191</v>
      </c>
      <c r="P60" s="1740"/>
      <c r="Q60" s="1739"/>
      <c r="R60" s="1770"/>
      <c r="S60" s="1743"/>
      <c r="T60" s="1813"/>
      <c r="U60" s="1743"/>
      <c r="V60" s="1743"/>
    </row>
    <row r="61" spans="1:22" s="1744" customFormat="1" ht="9.9" customHeight="1" x14ac:dyDescent="0.25">
      <c r="A61" s="1739"/>
      <c r="B61" s="1759"/>
      <c r="C61" s="1739"/>
      <c r="D61" s="1797" t="s">
        <v>207</v>
      </c>
      <c r="E61" s="1761">
        <f>IFERROR(VLOOKUP($E$60,'Val-Dép'!$B$12:$D$19,3,FALSE),"")</f>
        <v>0</v>
      </c>
      <c r="F61" s="1798" t="s">
        <v>211</v>
      </c>
      <c r="G61" s="1801"/>
      <c r="H61" s="1770"/>
      <c r="I61" s="1741"/>
      <c r="J61" s="1742"/>
      <c r="K61" s="1766"/>
      <c r="L61" s="1801"/>
      <c r="M61" s="1802" t="s">
        <v>208</v>
      </c>
      <c r="N61" s="1761" t="str">
        <f>IFERROR(VLOOKUP($M$60,'Val-Dép'!$B$38:$D$45,3,FALSE),"")</f>
        <v/>
      </c>
      <c r="O61" s="1797" t="s">
        <v>207</v>
      </c>
      <c r="P61" s="1740"/>
      <c r="Q61" s="1739"/>
      <c r="R61" s="1770"/>
      <c r="S61" s="1743"/>
      <c r="T61" s="1743"/>
      <c r="U61" s="1743"/>
      <c r="V61" s="1743"/>
    </row>
    <row r="62" spans="1:22" s="1744" customFormat="1" ht="9.9" customHeight="1" x14ac:dyDescent="0.25">
      <c r="A62" s="1739"/>
      <c r="B62" s="1759"/>
      <c r="C62" s="1740">
        <v>13</v>
      </c>
      <c r="D62" s="1745"/>
      <c r="E62" s="1773">
        <f>IF(ISNA(VLOOKUP(E$60,'Val-Dép'!B13:AA13,21,FALSE)),,VLOOKUP(E$60,'Val-Dép'!B13:AA13,21,FALSE))</f>
        <v>0</v>
      </c>
      <c r="F62" s="1774">
        <f>IF(ISNA(VLOOKUP($E$60,'Val-Dép'!AA13:AG13,6,FALSE)),,VLOOKUP($E$60,'Val-Dép'!AA13:AG13,6,FALSE))</f>
        <v>0</v>
      </c>
      <c r="G62" s="1739"/>
      <c r="H62" s="1770"/>
      <c r="I62" s="1741"/>
      <c r="J62" s="1742"/>
      <c r="K62" s="1766"/>
      <c r="L62" s="1739"/>
      <c r="M62" s="1775">
        <f>IF(ISNA(VLOOKUP($M$60,'Val-Dép'!B35:AM35,38,FALSE)),,VLOOKUP($M$60,'Val-Dép'!B35:AM35,38,FALSE))</f>
        <v>0</v>
      </c>
      <c r="N62" s="1776">
        <f>IF(ISNA(VLOOKUP($M$60,'Val-Dép'!B35:AM35,27,FALSE)),,VLOOKUP($M$60,'Val-Dép'!B35:AM35,27,FALSE))</f>
        <v>0</v>
      </c>
      <c r="O62" s="1745"/>
      <c r="P62" s="1740">
        <v>35</v>
      </c>
      <c r="Q62" s="1739"/>
      <c r="R62" s="1778"/>
      <c r="S62" s="1743"/>
      <c r="T62" s="1743"/>
      <c r="U62" s="1743"/>
      <c r="V62" s="1743"/>
    </row>
    <row r="63" spans="1:22" s="1744" customFormat="1" ht="9.9" customHeight="1" x14ac:dyDescent="0.25">
      <c r="A63" s="1739"/>
      <c r="B63" s="1759"/>
      <c r="C63" s="1740">
        <v>14</v>
      </c>
      <c r="D63" s="1745"/>
      <c r="E63" s="1773">
        <f>IF(ISNA(VLOOKUP(E$60,'Val-Dép'!B14:AA14,21,FALSE)),,VLOOKUP(E$60,'Val-Dép'!B14:AA14,21,FALSE))</f>
        <v>0</v>
      </c>
      <c r="F63" s="1774">
        <f>IF(ISNA(VLOOKUP($E$60,'Val-Dép'!AA14:AG14,6,FALSE)),,VLOOKUP($E$60,'Val-Dép'!AA14:AG14,6,FALSE))</f>
        <v>0</v>
      </c>
      <c r="G63" s="1739"/>
      <c r="H63" s="1770"/>
      <c r="I63" s="1741"/>
      <c r="J63" s="1742"/>
      <c r="K63" s="1766"/>
      <c r="L63" s="1739"/>
      <c r="M63" s="1775">
        <f>IF(ISNA(VLOOKUP($M$60,'Val-Dép'!B36:AM36,38,FALSE)),,VLOOKUP($M$60,'Val-Dép'!B36:AM36,38,FALSE))</f>
        <v>0</v>
      </c>
      <c r="N63" s="1776">
        <f>IF(ISNA(VLOOKUP($M$60,'Val-Dép'!B36:AM36,27,FALSE)),,VLOOKUP($M$60,'Val-Dép'!B36:AM36,27,FALSE))</f>
        <v>0</v>
      </c>
      <c r="O63" s="1745"/>
      <c r="P63" s="1740">
        <v>36</v>
      </c>
      <c r="Q63" s="1739"/>
      <c r="R63" s="1770"/>
      <c r="S63" s="1743"/>
      <c r="T63" s="1743"/>
      <c r="U63" s="1743"/>
      <c r="V63" s="1743"/>
    </row>
    <row r="64" spans="1:22" s="1744" customFormat="1" ht="9.9" customHeight="1" x14ac:dyDescent="0.25">
      <c r="A64" s="1739"/>
      <c r="B64" s="1759"/>
      <c r="C64" s="1740">
        <v>15</v>
      </c>
      <c r="D64" s="1745"/>
      <c r="E64" s="1773">
        <f>IF(ISNA(VLOOKUP(E$60,'Val-Dép'!B15:AA15,21,FALSE)),,VLOOKUP(E$60,'Val-Dép'!B15:AA15,21,FALSE))</f>
        <v>0</v>
      </c>
      <c r="F64" s="1774">
        <f>IF(ISNA(VLOOKUP($E$60,'Val-Dép'!AA15:AG15,6,FALSE)),,VLOOKUP($E$60,'Val-Dép'!AA15:AG15,6,FALSE))</f>
        <v>0</v>
      </c>
      <c r="G64" s="1739"/>
      <c r="H64" s="1770"/>
      <c r="I64" s="1741"/>
      <c r="J64" s="1742"/>
      <c r="K64" s="1766"/>
      <c r="L64" s="1739"/>
      <c r="M64" s="1775">
        <f>IF(ISNA(VLOOKUP($M$60,'Val-Dép'!B37:AM37,38,FALSE)),,VLOOKUP($M$60,'Val-Dép'!B37:AM37,38,FALSE))</f>
        <v>0</v>
      </c>
      <c r="N64" s="1776">
        <f>IF(ISNA(VLOOKUP($M$60,'Val-Dép'!B37:AM37,27,FALSE)),,VLOOKUP($M$60,'Val-Dép'!B37:AM37,27,FALSE))</f>
        <v>0</v>
      </c>
      <c r="O64" s="1745"/>
      <c r="P64" s="1740">
        <v>37</v>
      </c>
      <c r="Q64" s="1739"/>
      <c r="R64" s="1770"/>
      <c r="S64" s="1743"/>
      <c r="T64" s="1743"/>
      <c r="U64" s="1743"/>
      <c r="V64" s="1743"/>
    </row>
    <row r="65" spans="1:22" s="1744" customFormat="1" ht="9.9" customHeight="1" x14ac:dyDescent="0.25">
      <c r="A65" s="1739"/>
      <c r="B65" s="1759"/>
      <c r="C65" s="1740">
        <v>16</v>
      </c>
      <c r="D65" s="1745"/>
      <c r="E65" s="1773">
        <f>IF(ISNA(VLOOKUP(E$60,'Val-Dép'!B16:AA16,21,FALSE)),,VLOOKUP(E$60,'Val-Dép'!B16:AA16,21,FALSE))</f>
        <v>0</v>
      </c>
      <c r="F65" s="1774">
        <f>IF(ISNA(VLOOKUP($E$60,'Val-Dép'!AA16:AG16,6,FALSE)),,VLOOKUP($E$60,'Val-Dép'!AA16:AG16,6,FALSE))</f>
        <v>0</v>
      </c>
      <c r="G65" s="1739"/>
      <c r="H65" s="1770"/>
      <c r="I65" s="1741"/>
      <c r="J65" s="1742"/>
      <c r="K65" s="1766"/>
      <c r="L65" s="1739"/>
      <c r="M65" s="1775">
        <f>IF(ISNA(VLOOKUP($M$60,'Val-Dép'!B38:AM38,38,FALSE)),,VLOOKUP($M$60,'Val-Dép'!B38:AM38,38,FALSE))</f>
        <v>0</v>
      </c>
      <c r="N65" s="1776">
        <f>IF(ISNA(VLOOKUP($M$60,'Val-Dép'!B38:AM38,27,FALSE)),,VLOOKUP($M$60,'Val-Dép'!B38:AM38,27,FALSE))</f>
        <v>0</v>
      </c>
      <c r="O65" s="1745"/>
      <c r="P65" s="1740">
        <v>38</v>
      </c>
      <c r="Q65" s="1739"/>
      <c r="R65" s="1770"/>
      <c r="S65" s="1743"/>
      <c r="T65" s="1743"/>
      <c r="U65" s="1743"/>
      <c r="V65" s="1743"/>
    </row>
    <row r="66" spans="1:22" s="1744" customFormat="1" ht="9.9" customHeight="1" x14ac:dyDescent="0.25">
      <c r="A66" s="1739"/>
      <c r="B66" s="1759"/>
      <c r="C66" s="1740">
        <v>17</v>
      </c>
      <c r="D66" s="1745"/>
      <c r="E66" s="1773">
        <f>IF(ISNA(VLOOKUP(E$60,'Val-Dép'!B17:AA17,21,FALSE)),,VLOOKUP(E$60,'Val-Dép'!B17:AA17,21,FALSE))</f>
        <v>0</v>
      </c>
      <c r="F66" s="1774">
        <f>IF(ISNA(VLOOKUP($E$60,'Val-Dép'!AA17:AG17,6,FALSE)),,VLOOKUP($E$60,'Val-Dép'!AA17:AG17,6,FALSE))</f>
        <v>0</v>
      </c>
      <c r="G66" s="1739"/>
      <c r="H66" s="1770"/>
      <c r="I66" s="1741"/>
      <c r="J66" s="1742"/>
      <c r="K66" s="1766"/>
      <c r="L66" s="1739"/>
      <c r="M66" s="1775">
        <f>IF(ISNA(VLOOKUP($M$60,'Val-Dép'!B39:AM39,38,FALSE)),,VLOOKUP($M$60,'Val-Dép'!B39:AM39,38,FALSE))</f>
        <v>0</v>
      </c>
      <c r="N66" s="1776">
        <f>IF(ISNA(VLOOKUP($M$60,'Val-Dép'!B39:AM39,27,FALSE)),,VLOOKUP($M$60,'Val-Dép'!B39:AM39,27,FALSE))</f>
        <v>0</v>
      </c>
      <c r="O66" s="1745"/>
      <c r="P66" s="1740">
        <v>39</v>
      </c>
      <c r="Q66" s="1739"/>
      <c r="R66" s="1770"/>
      <c r="S66" s="1743"/>
      <c r="T66" s="1743"/>
      <c r="U66" s="1743"/>
      <c r="V66" s="1743"/>
    </row>
    <row r="67" spans="1:22" s="1744" customFormat="1" ht="9.9" customHeight="1" x14ac:dyDescent="0.25">
      <c r="A67" s="1739"/>
      <c r="B67" s="1759"/>
      <c r="C67" s="1740">
        <v>18</v>
      </c>
      <c r="D67" s="1745"/>
      <c r="E67" s="1773">
        <f>IF(ISNA(VLOOKUP(E$60,'Val-Dép'!B18:AA18,21,FALSE)),,VLOOKUP(E$60,'Val-Dép'!B18:AA18,21,FALSE))</f>
        <v>0</v>
      </c>
      <c r="F67" s="1774">
        <f>IF(ISNA(VLOOKUP($E$60,'Val-Dép'!AA18:AG18,6,FALSE)),,VLOOKUP($E$60,'Val-Dép'!AA18:AG18,6,FALSE))</f>
        <v>0</v>
      </c>
      <c r="G67" s="1739"/>
      <c r="H67" s="1770"/>
      <c r="I67" s="1741"/>
      <c r="J67" s="1742"/>
      <c r="K67" s="1766"/>
      <c r="L67" s="1739"/>
      <c r="M67" s="1775">
        <f>IF(ISNA(VLOOKUP($M$60,'Val-Dép'!B40:AM40,38,FALSE)),,VLOOKUP($M$60,'Val-Dép'!B40:AM40,38,FALSE))</f>
        <v>0</v>
      </c>
      <c r="N67" s="1776">
        <f>IF(ISNA(VLOOKUP($M$60,'Val-Dép'!B40:AM40,27,FALSE)),,VLOOKUP($M$60,'Val-Dép'!B40:AM40,27,FALSE))</f>
        <v>0</v>
      </c>
      <c r="O67" s="1745"/>
      <c r="P67" s="1740">
        <v>40</v>
      </c>
      <c r="Q67" s="1739"/>
      <c r="R67" s="1770"/>
      <c r="S67" s="1743"/>
      <c r="T67" s="1743"/>
      <c r="U67" s="1743"/>
      <c r="V67" s="1743"/>
    </row>
    <row r="68" spans="1:22" s="1744" customFormat="1" ht="9.9" customHeight="1" x14ac:dyDescent="0.25">
      <c r="A68" s="1739"/>
      <c r="B68" s="1759"/>
      <c r="C68" s="1740">
        <v>19</v>
      </c>
      <c r="D68" s="1739"/>
      <c r="E68" s="1773">
        <f>IF(ISNA(VLOOKUP(E$60,'Val-Dép'!B19:AA19,21,FALSE)),,VLOOKUP(E$60,'Val-Dép'!B19:AA19,21,FALSE))</f>
        <v>0</v>
      </c>
      <c r="F68" s="1774">
        <f>IF(ISNA(VLOOKUP($E$60,'Val-Dép'!AA19:AG19,6,FALSE)),,VLOOKUP($E$60,'Val-Dép'!AA19:AG19,6,FALSE))</f>
        <v>0</v>
      </c>
      <c r="G68" s="1739"/>
      <c r="H68" s="1814"/>
      <c r="I68" s="1815"/>
      <c r="J68" s="1742"/>
      <c r="K68" s="1766"/>
      <c r="L68" s="1739"/>
      <c r="M68" s="1775">
        <f>IF(ISNA(VLOOKUP($M$60,'Val-Dép'!B41:AM41,38,FALSE)),,VLOOKUP($M$60,'Val-Dép'!B41:AM41,38,FALSE))</f>
        <v>0</v>
      </c>
      <c r="N68" s="1776">
        <f>IF(ISNA(VLOOKUP($M$60,'Val-Dép'!B41:AM41,27,FALSE)),,VLOOKUP($M$60,'Val-Dép'!B41:AM41,27,FALSE))</f>
        <v>0</v>
      </c>
      <c r="O68" s="1739"/>
      <c r="P68" s="1740">
        <v>41</v>
      </c>
      <c r="Q68" s="1739"/>
      <c r="R68" s="1770"/>
      <c r="S68" s="1743"/>
      <c r="T68" s="1743"/>
      <c r="U68" s="1743"/>
      <c r="V68" s="1743"/>
    </row>
    <row r="69" spans="1:22" s="1744" customFormat="1" ht="9.9" customHeight="1" x14ac:dyDescent="0.25">
      <c r="A69" s="1739"/>
      <c r="B69" s="1759"/>
      <c r="C69" s="1740">
        <v>20</v>
      </c>
      <c r="D69" s="1739"/>
      <c r="E69" s="1773">
        <f>IF(ISNA(VLOOKUP(E$60,'Val-Dép'!B20:AA20,21,FALSE)),,VLOOKUP(E$60,'Val-Dép'!B20:AA20,21,FALSE))</f>
        <v>0</v>
      </c>
      <c r="F69" s="1774">
        <f>IF(ISNA(VLOOKUP($E$60,'Val-Dép'!AA20:AG20,6,FALSE)),,VLOOKUP($E$60,'Val-Dép'!AA20:AG20,6,FALSE))</f>
        <v>0</v>
      </c>
      <c r="G69" s="1739"/>
      <c r="H69" s="1814"/>
      <c r="I69" s="1815"/>
      <c r="J69" s="1742"/>
      <c r="K69" s="1766"/>
      <c r="L69" s="1739"/>
      <c r="M69" s="1775">
        <f>IF(ISNA(VLOOKUP($M$60,'Val-Dép'!B42:AM42,38,FALSE)),,VLOOKUP($M$60,'Val-Dép'!B42:AM42,38,FALSE))</f>
        <v>0</v>
      </c>
      <c r="N69" s="1776">
        <f>IF(ISNA(VLOOKUP($M$60,'Val-Dép'!B42:AM42,27,FALSE)),,VLOOKUP($M$60,'Val-Dép'!B42:AM42,27,FALSE))</f>
        <v>0</v>
      </c>
      <c r="O69" s="1739"/>
      <c r="P69" s="1740">
        <v>42</v>
      </c>
      <c r="Q69" s="1739"/>
      <c r="R69" s="1770"/>
      <c r="S69" s="1743"/>
      <c r="T69" s="1743"/>
      <c r="U69" s="1743"/>
      <c r="V69" s="1743"/>
    </row>
    <row r="70" spans="1:22" s="1744" customFormat="1" ht="9.9" customHeight="1" x14ac:dyDescent="0.25">
      <c r="A70" s="1739"/>
      <c r="B70" s="1759"/>
      <c r="C70" s="1740">
        <v>21</v>
      </c>
      <c r="D70" s="1739"/>
      <c r="E70" s="1773">
        <f>IF(ISNA(VLOOKUP(E$60,'Val-Dép'!B21:AA21,21,FALSE)),,VLOOKUP(E$60,'Val-Dép'!B21:AA21,21,FALSE))</f>
        <v>0</v>
      </c>
      <c r="F70" s="1774">
        <f>IF(ISNA(VLOOKUP($E$60,'Val-Dép'!AA21:AG21,6,FALSE)),,VLOOKUP($E$60,'Val-Dép'!AA21:AG21,6,FALSE))</f>
        <v>0</v>
      </c>
      <c r="G70" s="1739"/>
      <c r="H70" s="1814"/>
      <c r="I70" s="1815"/>
      <c r="J70" s="1742"/>
      <c r="K70" s="1766"/>
      <c r="L70" s="1739"/>
      <c r="M70" s="1775">
        <f>IF(ISNA(VLOOKUP($M$60,'Val-Dép'!B43:AM43,38,FALSE)),,VLOOKUP($M$60,'Val-Dép'!B43:AM43,38,FALSE))</f>
        <v>0</v>
      </c>
      <c r="N70" s="1776">
        <f>IF(ISNA(VLOOKUP($M$60,'Val-Dép'!B43:AM43,27,FALSE)),,VLOOKUP($M$60,'Val-Dép'!B43:AM43,27,FALSE))</f>
        <v>0</v>
      </c>
      <c r="O70" s="1739"/>
      <c r="P70" s="1740">
        <v>43</v>
      </c>
      <c r="Q70" s="1739"/>
      <c r="R70" s="1770"/>
      <c r="S70" s="1743"/>
      <c r="T70" s="1743"/>
      <c r="U70" s="1743"/>
      <c r="V70" s="1743"/>
    </row>
    <row r="71" spans="1:22" s="1744" customFormat="1" ht="9.9" customHeight="1" thickBot="1" x14ac:dyDescent="0.3">
      <c r="A71" s="1739"/>
      <c r="B71" s="1759"/>
      <c r="C71" s="1740">
        <v>22</v>
      </c>
      <c r="D71" s="1739"/>
      <c r="E71" s="1773">
        <f>IF(ISNA(VLOOKUP(E$60,'Val-Dép'!B22:AA22,21,FALSE)),,VLOOKUP(E$60,'Val-Dép'!B22:AA22,21,FALSE))</f>
        <v>0</v>
      </c>
      <c r="F71" s="1774">
        <f>IF(ISNA(VLOOKUP($E$60,'Val-Dép'!AA22:AG22,6,FALSE)),,VLOOKUP($E$60,'Val-Dép'!AA22:AG22,6,FALSE))</f>
        <v>0</v>
      </c>
      <c r="G71" s="1739"/>
      <c r="H71" s="1816"/>
      <c r="I71" s="1817"/>
      <c r="J71" s="1818"/>
      <c r="K71" s="1759"/>
      <c r="L71" s="1739"/>
      <c r="M71" s="1775">
        <f>IF(ISNA(VLOOKUP($M$60,'Val-Dép'!B44:AM44,38,FALSE)),,VLOOKUP($M$60,'Val-Dép'!B44:AM44,38,FALSE))</f>
        <v>0</v>
      </c>
      <c r="N71" s="1776">
        <f>IF(ISNA(VLOOKUP($M$60,'Val-Dép'!B44:AM44,27,FALSE)),,VLOOKUP($M$60,'Val-Dép'!B44:AM44,27,FALSE))</f>
        <v>0</v>
      </c>
      <c r="O71" s="1739"/>
      <c r="P71" s="1740">
        <v>44</v>
      </c>
      <c r="Q71" s="1740"/>
      <c r="R71" s="1770"/>
      <c r="S71" s="1743"/>
      <c r="T71" s="1743"/>
      <c r="U71" s="1743"/>
      <c r="V71" s="1743"/>
    </row>
    <row r="72" spans="1:22" s="1744" customFormat="1" ht="9.9" customHeight="1" x14ac:dyDescent="0.25">
      <c r="A72" s="1739"/>
      <c r="B72" s="1759"/>
      <c r="C72" s="1740">
        <v>23</v>
      </c>
      <c r="D72" s="1780"/>
      <c r="E72" s="1781">
        <f>SUM(E61:E71)</f>
        <v>0</v>
      </c>
      <c r="F72" s="1782">
        <f>SUM(F62:F71)</f>
        <v>0</v>
      </c>
      <c r="G72" s="1780"/>
      <c r="H72" s="1816"/>
      <c r="I72" s="1817"/>
      <c r="J72" s="1819"/>
      <c r="K72" s="1820"/>
      <c r="L72" s="1780"/>
      <c r="M72" s="1781">
        <f>SUM(M62:M71)</f>
        <v>0</v>
      </c>
      <c r="N72" s="1781">
        <f>SUM(N61:N71)</f>
        <v>0</v>
      </c>
      <c r="O72" s="1780"/>
      <c r="P72" s="1740">
        <v>45</v>
      </c>
      <c r="Q72" s="1739"/>
      <c r="R72" s="1770"/>
      <c r="S72" s="1743"/>
      <c r="T72" s="1743"/>
      <c r="U72" s="1743"/>
      <c r="V72" s="1743"/>
    </row>
    <row r="73" spans="1:22" s="1744" customFormat="1" ht="9.9" customHeight="1" thickBot="1" x14ac:dyDescent="0.3">
      <c r="A73" s="1739"/>
      <c r="B73" s="1759"/>
      <c r="C73" s="1739"/>
      <c r="D73" s="1739"/>
      <c r="E73" s="1821">
        <f>E72-F72</f>
        <v>0</v>
      </c>
      <c r="F73" s="4160" t="s">
        <v>1932</v>
      </c>
      <c r="G73" s="4160"/>
      <c r="H73" s="4161"/>
      <c r="I73" s="1817"/>
      <c r="J73" s="1742"/>
      <c r="K73" s="1766"/>
      <c r="L73" s="1739"/>
      <c r="M73" s="1739"/>
      <c r="N73" s="1822">
        <f>(N72-M72)</f>
        <v>0</v>
      </c>
      <c r="O73" s="1740" t="s">
        <v>189</v>
      </c>
      <c r="P73" s="1771"/>
      <c r="Q73" s="1823"/>
      <c r="R73" s="1770"/>
      <c r="S73" s="1743"/>
      <c r="T73" s="1743"/>
      <c r="U73" s="1743"/>
      <c r="V73" s="1743"/>
    </row>
    <row r="74" spans="1:22" s="1744" customFormat="1" ht="9.9" customHeight="1" thickBot="1" x14ac:dyDescent="0.3">
      <c r="A74" s="1739"/>
      <c r="B74" s="1804"/>
      <c r="C74" s="1792"/>
      <c r="D74" s="1824"/>
      <c r="E74" s="1825"/>
      <c r="F74" s="1825"/>
      <c r="G74" s="1826"/>
      <c r="H74" s="1827"/>
      <c r="I74" s="1817"/>
      <c r="J74" s="1742"/>
      <c r="K74" s="1791"/>
      <c r="L74" s="1792"/>
      <c r="M74" s="1792"/>
      <c r="N74" s="1792"/>
      <c r="O74" s="1792"/>
      <c r="P74" s="4150" t="s">
        <v>346</v>
      </c>
      <c r="Q74" s="4150"/>
      <c r="R74" s="4151"/>
      <c r="S74" s="1743"/>
      <c r="T74" s="1743"/>
      <c r="U74" s="1743"/>
      <c r="V74" s="1743"/>
    </row>
    <row r="75" spans="1:22" s="1744" customFormat="1" ht="9.9" customHeight="1" thickTop="1" thickBot="1" x14ac:dyDescent="0.3">
      <c r="A75" s="1772"/>
      <c r="B75" s="1771"/>
      <c r="C75" s="1772"/>
      <c r="D75" s="1772"/>
      <c r="E75" s="1828"/>
      <c r="F75" s="1828"/>
      <c r="G75" s="1772"/>
      <c r="H75" s="1772"/>
      <c r="I75" s="1739"/>
      <c r="J75" s="1739"/>
      <c r="K75" s="1772"/>
      <c r="L75" s="1772"/>
      <c r="M75" s="1828"/>
      <c r="N75" s="1828"/>
      <c r="O75" s="1772"/>
      <c r="P75" s="1771"/>
      <c r="Q75" s="1829"/>
      <c r="R75" s="1743"/>
      <c r="S75" s="1743"/>
      <c r="T75" s="1743"/>
      <c r="U75" s="1743"/>
      <c r="V75" s="1743"/>
    </row>
    <row r="76" spans="1:22" s="1744" customFormat="1" ht="9.9" customHeight="1" thickBot="1" x14ac:dyDescent="0.3">
      <c r="A76" s="1830"/>
      <c r="B76" s="1831"/>
      <c r="C76" s="1830"/>
      <c r="D76" s="1832"/>
      <c r="E76" s="1833"/>
      <c r="F76" s="1830"/>
      <c r="G76" s="1830"/>
      <c r="H76" s="1830"/>
      <c r="I76" s="1834"/>
      <c r="J76" s="1834"/>
      <c r="K76" s="1830"/>
      <c r="L76" s="1830"/>
      <c r="M76" s="1830"/>
      <c r="N76" s="1833"/>
      <c r="O76" s="1832"/>
      <c r="P76" s="1831"/>
      <c r="Q76" s="1835"/>
      <c r="R76" s="1834"/>
      <c r="S76" s="1834"/>
      <c r="T76" s="1743"/>
      <c r="U76" s="1743"/>
      <c r="V76" s="1743"/>
    </row>
    <row r="77" spans="1:22" s="1744" customFormat="1" ht="9.9" customHeight="1" thickTop="1" x14ac:dyDescent="0.25">
      <c r="A77" s="1772"/>
      <c r="B77" s="1771"/>
      <c r="C77" s="1772"/>
      <c r="D77" s="4162" t="s">
        <v>347</v>
      </c>
      <c r="E77" s="4163"/>
      <c r="F77" s="4164" t="s">
        <v>343</v>
      </c>
      <c r="G77" s="4165"/>
      <c r="H77" s="1772"/>
      <c r="I77" s="1739"/>
      <c r="J77" s="1739"/>
      <c r="K77" s="1772"/>
      <c r="L77" s="4174" t="s">
        <v>343</v>
      </c>
      <c r="M77" s="4174"/>
      <c r="N77" s="4175" t="s">
        <v>347</v>
      </c>
      <c r="O77" s="4175"/>
      <c r="P77" s="1771"/>
      <c r="Q77" s="1772"/>
      <c r="R77" s="1743"/>
      <c r="S77" s="1743"/>
      <c r="T77" s="1743"/>
      <c r="U77" s="1743"/>
      <c r="V77" s="1743"/>
    </row>
    <row r="78" spans="1:22" s="1744" customFormat="1" ht="9.9" customHeight="1" thickBot="1" x14ac:dyDescent="0.3">
      <c r="A78" s="1772"/>
      <c r="B78" s="1771"/>
      <c r="C78" s="1772"/>
      <c r="D78" s="4154" t="s">
        <v>198</v>
      </c>
      <c r="E78" s="4155"/>
      <c r="F78" s="4156" t="s">
        <v>0</v>
      </c>
      <c r="G78" s="4157"/>
      <c r="H78" s="1772"/>
      <c r="I78" s="1739"/>
      <c r="J78" s="1739"/>
      <c r="K78" s="1772"/>
      <c r="L78" s="4158" t="s">
        <v>35</v>
      </c>
      <c r="M78" s="4158"/>
      <c r="N78" s="4159" t="s">
        <v>35</v>
      </c>
      <c r="O78" s="4159"/>
      <c r="P78" s="1771"/>
      <c r="Q78" s="1772"/>
      <c r="R78" s="1743"/>
      <c r="S78" s="1743"/>
      <c r="T78" s="1743"/>
      <c r="U78" s="1743"/>
      <c r="V78" s="1743"/>
    </row>
    <row r="79" spans="1:22" s="1744" customFormat="1" ht="9.9" customHeight="1" thickTop="1" thickBot="1" x14ac:dyDescent="0.3">
      <c r="A79" s="1772"/>
      <c r="B79" s="1771"/>
      <c r="C79" s="1772"/>
      <c r="D79" s="1836"/>
      <c r="E79" s="1746" t="s">
        <v>348</v>
      </c>
      <c r="F79" s="1837"/>
      <c r="G79" s="1838"/>
      <c r="H79" s="1772"/>
      <c r="I79" s="1739"/>
      <c r="J79" s="1739"/>
      <c r="K79" s="1772"/>
      <c r="L79" s="1839"/>
      <c r="M79" s="1746" t="s">
        <v>348</v>
      </c>
      <c r="N79" s="1840"/>
      <c r="O79" s="1841"/>
      <c r="P79" s="1771"/>
      <c r="Q79" s="1772"/>
      <c r="R79" s="1743"/>
      <c r="S79" s="1743"/>
      <c r="T79" s="1743"/>
      <c r="U79" s="1743"/>
      <c r="V79" s="1743"/>
    </row>
    <row r="80" spans="1:22" s="1744" customFormat="1" ht="9.9" customHeight="1" thickBot="1" x14ac:dyDescent="0.3">
      <c r="A80" s="1772"/>
      <c r="B80" s="1771"/>
      <c r="C80" s="1772"/>
      <c r="D80" s="1752" t="s">
        <v>192</v>
      </c>
      <c r="E80" s="1753" t="str">
        <f t="array" ref="E80">INDEX('Val-Dép'!B$1:B$25,MIN(IF(COUNTIF(E$11:E79,'Val-Dép'!B$13:B$25)=0,ROW($13:$25))))</f>
        <v>C00055</v>
      </c>
      <c r="F80" s="1754">
        <f>IFERROR(VLOOKUP($E$80,'Val-Dép'!$B$13:$D$23,2,FALSE),"")</f>
        <v>0</v>
      </c>
      <c r="G80" s="1752" t="s">
        <v>191</v>
      </c>
      <c r="H80" s="1764"/>
      <c r="I80" s="1739"/>
      <c r="J80" s="1739"/>
      <c r="K80" s="1772"/>
      <c r="L80" s="1752" t="s">
        <v>192</v>
      </c>
      <c r="M80" s="1753">
        <f t="array" ref="M80">INDEX('Val-Dép'!B$1:B$45,MIN(IF(COUNTIF($M$11:$M$79,'Val-Dép'!B$35:B$45)=0,ROW($35:$45))))</f>
        <v>0</v>
      </c>
      <c r="N80" s="1754" t="str">
        <f>IFERROR(VLOOKUP($M$80,'Val-Dép'!$B$39:$D$45,2,FALSE),"")</f>
        <v/>
      </c>
      <c r="O80" s="1752" t="s">
        <v>191</v>
      </c>
      <c r="P80" s="1740"/>
      <c r="Q80" s="1772"/>
      <c r="R80" s="1743"/>
      <c r="S80" s="1743"/>
      <c r="T80" s="1743"/>
      <c r="U80" s="1743"/>
      <c r="V80" s="1743"/>
    </row>
    <row r="81" spans="1:22" s="1744" customFormat="1" ht="9.9" customHeight="1" x14ac:dyDescent="0.25">
      <c r="A81" s="1772"/>
      <c r="B81" s="1771"/>
      <c r="C81" s="1739"/>
      <c r="D81" s="1797" t="s">
        <v>207</v>
      </c>
      <c r="E81" s="1761">
        <f>IFERROR(VLOOKUP($E$80,'Val-Dép'!$B$12:$D$19,3,FALSE),"")</f>
        <v>0</v>
      </c>
      <c r="F81" s="1798" t="s">
        <v>211</v>
      </c>
      <c r="G81" s="1801"/>
      <c r="H81" s="1770"/>
      <c r="I81" s="1739"/>
      <c r="J81" s="1739"/>
      <c r="K81" s="1772"/>
      <c r="L81" s="1801"/>
      <c r="M81" s="1802" t="s">
        <v>208</v>
      </c>
      <c r="N81" s="1761" t="str">
        <f>IFERROR(VLOOKUP($M$80,'Val-Dép'!$B$39:$D$45,3,FALSE),"")</f>
        <v/>
      </c>
      <c r="O81" s="1797" t="s">
        <v>207</v>
      </c>
      <c r="P81" s="1740"/>
      <c r="Q81" s="1772"/>
      <c r="R81" s="1743"/>
      <c r="S81" s="1743"/>
      <c r="T81" s="1743"/>
      <c r="U81" s="1743"/>
      <c r="V81" s="1743"/>
    </row>
    <row r="82" spans="1:22" s="1744" customFormat="1" ht="9.9" customHeight="1" x14ac:dyDescent="0.25">
      <c r="A82" s="1772"/>
      <c r="B82" s="1771"/>
      <c r="C82" s="1740">
        <v>13</v>
      </c>
      <c r="D82" s="1745"/>
      <c r="E82" s="1773">
        <f>IF(ISNA(VLOOKUP(E$80,'Val-Dép'!B13:AA13,21,FALSE)),,VLOOKUP($E$80,'Val-Dép'!B13:AA13,21,FALSE))</f>
        <v>0</v>
      </c>
      <c r="F82" s="1774">
        <f>IF(ISNA(VLOOKUP($E$80,'Val-Dép'!AA13:AG13,6,FALSE)),,VLOOKUP($E$80,'Val-Dép'!AA13:AG13,6,FALSE))</f>
        <v>0</v>
      </c>
      <c r="G82" s="1739"/>
      <c r="H82" s="1770"/>
      <c r="I82" s="1739"/>
      <c r="J82" s="1739"/>
      <c r="K82" s="1772"/>
      <c r="L82" s="1739"/>
      <c r="M82" s="1775">
        <f>IF(ISNA(VLOOKUP($M$80,'Val-Dép'!B35:AM35,38,FALSE)),,VLOOKUP($M$80,'Val-Dép'!B35:AM35,38,FALSE))</f>
        <v>0</v>
      </c>
      <c r="N82" s="1776">
        <f>IF(ISNA(VLOOKUP($M$80,'Val-Dép'!B35:AM35,27,FALSE)),,VLOOKUP($M$80,'Val-Dép'!B35:AM35,27,FALSE))</f>
        <v>0</v>
      </c>
      <c r="O82" s="1745"/>
      <c r="P82" s="1740">
        <v>35</v>
      </c>
      <c r="Q82" s="1772"/>
      <c r="R82" s="1743"/>
      <c r="S82" s="1743"/>
      <c r="T82" s="1743"/>
      <c r="U82" s="1743"/>
      <c r="V82" s="1743"/>
    </row>
    <row r="83" spans="1:22" s="1744" customFormat="1" ht="9.9" customHeight="1" x14ac:dyDescent="0.25">
      <c r="A83" s="1772"/>
      <c r="B83" s="1771"/>
      <c r="C83" s="1740">
        <v>14</v>
      </c>
      <c r="D83" s="1745"/>
      <c r="E83" s="1773">
        <f>IF(ISNA(VLOOKUP(E$80,'Val-Dép'!B14:AA14,21,FALSE)),,VLOOKUP($E$80,'Val-Dép'!B14:AA14,21,FALSE))</f>
        <v>0</v>
      </c>
      <c r="F83" s="1774">
        <f>IF(ISNA(VLOOKUP($E$80,'Val-Dép'!AA14:AG14,6,FALSE)),,VLOOKUP($E$80,'Val-Dép'!AA14:AG14,6,FALSE))</f>
        <v>0</v>
      </c>
      <c r="G83" s="1739"/>
      <c r="H83" s="1770"/>
      <c r="I83" s="1743"/>
      <c r="J83" s="1743"/>
      <c r="K83" s="1772"/>
      <c r="L83" s="1739"/>
      <c r="M83" s="1775">
        <f>IF(ISNA(VLOOKUP($M$80,'Val-Dép'!B36:AM36,38,FALSE)),,VLOOKUP($M$80,'Val-Dép'!B36:AM36,38,FALSE))</f>
        <v>0</v>
      </c>
      <c r="N83" s="1776">
        <f>IF(ISNA(VLOOKUP($M$80,'Val-Dép'!B36:AM36,27,FALSE)),,VLOOKUP($M$80,'Val-Dép'!B36:AM36,27,FALSE))</f>
        <v>0</v>
      </c>
      <c r="O83" s="1745"/>
      <c r="P83" s="1740">
        <v>36</v>
      </c>
      <c r="Q83" s="1772"/>
      <c r="R83" s="1743"/>
      <c r="S83" s="1743"/>
      <c r="T83" s="1743"/>
      <c r="U83" s="1743"/>
      <c r="V83" s="1743"/>
    </row>
    <row r="84" spans="1:22" s="1744" customFormat="1" ht="9.9" customHeight="1" x14ac:dyDescent="0.25">
      <c r="A84" s="1772"/>
      <c r="B84" s="1771"/>
      <c r="C84" s="1740">
        <v>15</v>
      </c>
      <c r="D84" s="1745"/>
      <c r="E84" s="1773">
        <f>IF(ISNA(VLOOKUP(E$80,'Val-Dép'!B15:AA15,21,FALSE)),,VLOOKUP($E$80,'Val-Dép'!B15:AA15,21,FALSE))</f>
        <v>0</v>
      </c>
      <c r="F84" s="1774">
        <f>IF(ISNA(VLOOKUP($E$80,'Val-Dép'!AA15:AG15,6,FALSE)),,VLOOKUP($E$80,'Val-Dép'!AA15:AG15,6,FALSE))</f>
        <v>0</v>
      </c>
      <c r="G84" s="1739"/>
      <c r="H84" s="1770"/>
      <c r="I84" s="1743"/>
      <c r="J84" s="1743"/>
      <c r="K84" s="1772"/>
      <c r="L84" s="1739"/>
      <c r="M84" s="1775">
        <f>IF(ISNA(VLOOKUP($M$80,'Val-Dép'!B37:AM37,38,FALSE)),,VLOOKUP($M$80,'Val-Dép'!B37:AM37,38,FALSE))</f>
        <v>0</v>
      </c>
      <c r="N84" s="1776">
        <f>IF(ISNA(VLOOKUP($M$80,'Val-Dép'!B37:AM37,27,FALSE)),,VLOOKUP($M$80,'Val-Dép'!B37:AM37,27,FALSE))</f>
        <v>0</v>
      </c>
      <c r="O84" s="1745"/>
      <c r="P84" s="1740">
        <v>37</v>
      </c>
      <c r="Q84" s="1772"/>
      <c r="R84" s="1743"/>
      <c r="S84" s="1743"/>
      <c r="T84" s="1743"/>
      <c r="U84" s="1743"/>
      <c r="V84" s="1743"/>
    </row>
    <row r="85" spans="1:22" s="1744" customFormat="1" ht="9.9" customHeight="1" x14ac:dyDescent="0.25">
      <c r="A85" s="1772"/>
      <c r="B85" s="1771"/>
      <c r="C85" s="1740">
        <v>16</v>
      </c>
      <c r="D85" s="1745"/>
      <c r="E85" s="1773">
        <f>IF(ISNA(VLOOKUP(E$80,'Val-Dép'!B16:AA16,21,FALSE)),,VLOOKUP($E$80,'Val-Dép'!B16:AA16,21,FALSE))</f>
        <v>0</v>
      </c>
      <c r="F85" s="1774">
        <f>IF(ISNA(VLOOKUP($E$80,'Val-Dép'!AA16:AG16,6,FALSE)),,VLOOKUP($E$80,'Val-Dép'!AA16:AG16,6,FALSE))</f>
        <v>0</v>
      </c>
      <c r="G85" s="1739"/>
      <c r="H85" s="1770"/>
      <c r="I85" s="1743"/>
      <c r="J85" s="1743"/>
      <c r="K85" s="1772"/>
      <c r="L85" s="1739"/>
      <c r="M85" s="1775">
        <f>IF(ISNA(VLOOKUP($M$80,'Val-Dép'!B38:AM38,38,FALSE)),,VLOOKUP($M$80,'Val-Dép'!B38:AM38,38,FALSE))</f>
        <v>0</v>
      </c>
      <c r="N85" s="1776">
        <f>IF(ISNA(VLOOKUP($M$80,'Val-Dép'!B38:AM38,27,FALSE)),,VLOOKUP($M$80,'Val-Dép'!B38:AM38,27,FALSE))</f>
        <v>0</v>
      </c>
      <c r="O85" s="1745"/>
      <c r="P85" s="1740">
        <v>38</v>
      </c>
      <c r="Q85" s="1772"/>
      <c r="R85" s="1743"/>
      <c r="S85" s="1743"/>
      <c r="T85" s="1743"/>
      <c r="U85" s="1743"/>
      <c r="V85" s="1743"/>
    </row>
    <row r="86" spans="1:22" s="1744" customFormat="1" ht="9.9" customHeight="1" x14ac:dyDescent="0.25">
      <c r="A86" s="1772"/>
      <c r="B86" s="1771"/>
      <c r="C86" s="1740">
        <v>17</v>
      </c>
      <c r="D86" s="1739"/>
      <c r="E86" s="1773">
        <f>IF(ISNA(VLOOKUP(E$80,'Val-Dép'!B17:AA17,21,FALSE)),,VLOOKUP($E$80,'Val-Dép'!B17:AA17,21,FALSE))</f>
        <v>0</v>
      </c>
      <c r="F86" s="1774">
        <f>IF(ISNA(VLOOKUP($E$80,'Val-Dép'!AA17:AG17,6,FALSE)),,VLOOKUP($E$80,'Val-Dép'!AA17:AG17,6,FALSE))</f>
        <v>0</v>
      </c>
      <c r="G86" s="1739"/>
      <c r="H86" s="1770"/>
      <c r="I86" s="1743"/>
      <c r="J86" s="1743"/>
      <c r="K86" s="1772"/>
      <c r="L86" s="1739"/>
      <c r="M86" s="1775">
        <f>IF(ISNA(VLOOKUP($M$80,'Val-Dép'!B39:AM39,38,FALSE)),,VLOOKUP($M$80,'Val-Dép'!B39:AM39,38,FALSE))</f>
        <v>0</v>
      </c>
      <c r="N86" s="1776">
        <f>IF(ISNA(VLOOKUP($M$80,'Val-Dép'!B39:AM39,27,FALSE)),,VLOOKUP($M$80,'Val-Dép'!B39:AM39,27,FALSE))</f>
        <v>0</v>
      </c>
      <c r="O86" s="1739"/>
      <c r="P86" s="1740">
        <v>39</v>
      </c>
      <c r="Q86" s="1772"/>
      <c r="R86" s="1743"/>
      <c r="S86" s="1743"/>
      <c r="T86" s="1743"/>
      <c r="U86" s="1743"/>
      <c r="V86" s="1743"/>
    </row>
    <row r="87" spans="1:22" s="1744" customFormat="1" ht="9.9" customHeight="1" x14ac:dyDescent="0.25">
      <c r="A87" s="1772"/>
      <c r="B87" s="1771"/>
      <c r="C87" s="1740">
        <v>18</v>
      </c>
      <c r="D87" s="1739"/>
      <c r="E87" s="1773">
        <f>IF(ISNA(VLOOKUP(E$80,'Val-Dép'!B18:AA18,21,FALSE)),,VLOOKUP($E$80,'Val-Dép'!B18:AA18,21,FALSE))</f>
        <v>0</v>
      </c>
      <c r="F87" s="1774">
        <f>IF(ISNA(VLOOKUP($E$80,'Val-Dép'!AA18:AG18,6,FALSE)),,VLOOKUP($E$80,'Val-Dép'!AA18:AG18,6,FALSE))</f>
        <v>0</v>
      </c>
      <c r="G87" s="1739"/>
      <c r="H87" s="1770"/>
      <c r="I87" s="1743"/>
      <c r="J87" s="1743"/>
      <c r="K87" s="1772"/>
      <c r="L87" s="1739"/>
      <c r="M87" s="1775">
        <f>IF(ISNA(VLOOKUP($M$80,'Val-Dép'!B40:AM40,38,FALSE)),,VLOOKUP($M$80,'Val-Dép'!B40:AM40,38,FALSE))</f>
        <v>0</v>
      </c>
      <c r="N87" s="1776">
        <f>IF(ISNA(VLOOKUP($M$80,'Val-Dép'!B40:AM40,27,FALSE)),,VLOOKUP($M$80,'Val-Dép'!B40:AM40,27,FALSE))</f>
        <v>0</v>
      </c>
      <c r="O87" s="1739"/>
      <c r="P87" s="1740">
        <v>40</v>
      </c>
      <c r="Q87" s="1772"/>
      <c r="R87" s="1743"/>
      <c r="S87" s="1743"/>
      <c r="T87" s="1743"/>
      <c r="U87" s="1743"/>
      <c r="V87" s="1743"/>
    </row>
    <row r="88" spans="1:22" s="1744" customFormat="1" ht="9.9" customHeight="1" x14ac:dyDescent="0.25">
      <c r="A88" s="1772"/>
      <c r="B88" s="1771"/>
      <c r="C88" s="1740">
        <v>19</v>
      </c>
      <c r="D88" s="1739"/>
      <c r="E88" s="1773">
        <f>IF(ISNA(VLOOKUP(E$80,'Val-Dép'!B19:AA19,21,FALSE)),,VLOOKUP($E$80,'Val-Dép'!B19:AA19,21,FALSE))</f>
        <v>0</v>
      </c>
      <c r="F88" s="1774">
        <f>IF(ISNA(VLOOKUP($E$80,'Val-Dép'!AA19:AG19,6,FALSE)),,VLOOKUP($E$80,'Val-Dép'!AA19:AG19,6,FALSE))</f>
        <v>0</v>
      </c>
      <c r="G88" s="1739"/>
      <c r="H88" s="1770"/>
      <c r="I88" s="1743"/>
      <c r="J88" s="1743"/>
      <c r="K88" s="1772"/>
      <c r="L88" s="1739"/>
      <c r="M88" s="1775">
        <f>IF(ISNA(VLOOKUP($M$80,'Val-Dép'!B41:AM41,38,FALSE)),,VLOOKUP($M$80,'Val-Dép'!B41:AM41,38,FALSE))</f>
        <v>0</v>
      </c>
      <c r="N88" s="1776">
        <f>IF(ISNA(VLOOKUP($M$80,'Val-Dép'!B41:AM41,27,FALSE)),,VLOOKUP($M$80,'Val-Dép'!B41:AM41,27,FALSE))</f>
        <v>0</v>
      </c>
      <c r="O88" s="1739"/>
      <c r="P88" s="1740">
        <v>41</v>
      </c>
      <c r="Q88" s="1772"/>
      <c r="R88" s="1743"/>
      <c r="S88" s="1743"/>
      <c r="T88" s="1743"/>
      <c r="U88" s="1743"/>
      <c r="V88" s="1743"/>
    </row>
    <row r="89" spans="1:22" s="1744" customFormat="1" ht="9.9" customHeight="1" x14ac:dyDescent="0.25">
      <c r="A89" s="1772"/>
      <c r="B89" s="1771"/>
      <c r="C89" s="1740">
        <v>20</v>
      </c>
      <c r="D89" s="1739"/>
      <c r="E89" s="1773">
        <f>IF(ISNA(VLOOKUP(E$80,'Val-Dép'!B20:AA20,21,FALSE)),,VLOOKUP($E$80,'Val-Dép'!B20:AA20,21,FALSE))</f>
        <v>0</v>
      </c>
      <c r="F89" s="1774">
        <f>IF(ISNA(VLOOKUP($E$80,'Val-Dép'!AA20:AG20,6,FALSE)),,VLOOKUP($E$80,'Val-Dép'!AA20:AG20,6,FALSE))</f>
        <v>0</v>
      </c>
      <c r="G89" s="1739"/>
      <c r="H89" s="1770"/>
      <c r="I89" s="1743"/>
      <c r="J89" s="1743"/>
      <c r="K89" s="1772"/>
      <c r="L89" s="1739"/>
      <c r="M89" s="1775">
        <f>IF(ISNA(VLOOKUP($M$80,'Val-Dép'!B42:AM42,38,FALSE)),,VLOOKUP($M$80,'Val-Dép'!B42:AM42,38,FALSE))</f>
        <v>0</v>
      </c>
      <c r="N89" s="1776">
        <f>IF(ISNA(VLOOKUP($M$80,'Val-Dép'!B42:AM42,27,FALSE)),,VLOOKUP($M$80,'Val-Dép'!B42:AM42,27,FALSE))</f>
        <v>0</v>
      </c>
      <c r="O89" s="1739"/>
      <c r="P89" s="1740">
        <v>42</v>
      </c>
      <c r="Q89" s="1772"/>
      <c r="R89" s="1743"/>
      <c r="S89" s="1743"/>
      <c r="T89" s="1743"/>
      <c r="U89" s="1743"/>
      <c r="V89" s="1743"/>
    </row>
    <row r="90" spans="1:22" s="1744" customFormat="1" ht="9.9" customHeight="1" x14ac:dyDescent="0.25">
      <c r="A90" s="1772"/>
      <c r="B90" s="1771"/>
      <c r="C90" s="1740">
        <v>21</v>
      </c>
      <c r="D90" s="1739"/>
      <c r="E90" s="1773">
        <f>IF(ISNA(VLOOKUP(E$80,'Val-Dép'!B21:AA21,21,FALSE)),,VLOOKUP($E$80,'Val-Dép'!B21:AA21,21,FALSE))</f>
        <v>0</v>
      </c>
      <c r="F90" s="1774">
        <f>IF(ISNA(VLOOKUP($E$80,'Val-Dép'!AA21:AG21,6,FALSE)),,VLOOKUP($E$80,'Val-Dép'!AA21:AG21,6,FALSE))</f>
        <v>0</v>
      </c>
      <c r="G90" s="1739"/>
      <c r="H90" s="1770"/>
      <c r="I90" s="1743"/>
      <c r="J90" s="1743"/>
      <c r="K90" s="1772"/>
      <c r="L90" s="1739"/>
      <c r="M90" s="1775">
        <f>IF(ISNA(VLOOKUP($M$80,'Val-Dép'!B43:AM43,38,FALSE)),,VLOOKUP($M$80,'Val-Dép'!B43:AM43,38,FALSE))</f>
        <v>0</v>
      </c>
      <c r="N90" s="1776">
        <f>IF(ISNA(VLOOKUP($M$80,'Val-Dép'!B43:AM43,27,FALSE)),,VLOOKUP($M$80,'Val-Dép'!B43:AM43,27,FALSE))</f>
        <v>0</v>
      </c>
      <c r="O90" s="1739"/>
      <c r="P90" s="1740">
        <v>43</v>
      </c>
      <c r="Q90" s="1772"/>
      <c r="R90" s="1743"/>
      <c r="S90" s="1743"/>
      <c r="T90" s="1743"/>
      <c r="U90" s="1743"/>
      <c r="V90" s="1743"/>
    </row>
    <row r="91" spans="1:22" s="1744" customFormat="1" ht="9.9" customHeight="1" x14ac:dyDescent="0.25">
      <c r="A91" s="1772"/>
      <c r="B91" s="1771"/>
      <c r="C91" s="1740">
        <v>22</v>
      </c>
      <c r="D91" s="1739"/>
      <c r="E91" s="1773">
        <f>IF(ISNA(VLOOKUP(E$80,'Val-Dép'!B22:AA22,21,FALSE)),,VLOOKUP($E$80,'Val-Dép'!B22:AA22,21,FALSE))</f>
        <v>0</v>
      </c>
      <c r="F91" s="1774">
        <f>IF(ISNA(VLOOKUP($E$80,'Val-Dép'!AA22:AG22,6,FALSE)),,VLOOKUP($E$80,'Val-Dép'!AA22:AG22,6,FALSE))</f>
        <v>0</v>
      </c>
      <c r="G91" s="1739"/>
      <c r="H91" s="1770"/>
      <c r="I91" s="1743"/>
      <c r="J91" s="1743"/>
      <c r="K91" s="1772"/>
      <c r="L91" s="1739"/>
      <c r="M91" s="1775">
        <f>IF(ISNA(VLOOKUP($M$80,'Val-Dép'!B44:AM44,38,FALSE)),,VLOOKUP($M$80,'Val-Dép'!B44:AM44,38,FALSE))</f>
        <v>0</v>
      </c>
      <c r="N91" s="1776">
        <f>IF(ISNA(VLOOKUP($M$80,'Val-Dép'!B44:AM44,27,FALSE)),,VLOOKUP($M$80,'Val-Dép'!B44:AM44,27,FALSE))</f>
        <v>0</v>
      </c>
      <c r="O91" s="1739"/>
      <c r="P91" s="1740">
        <v>44</v>
      </c>
      <c r="Q91" s="1772"/>
      <c r="R91" s="1743"/>
      <c r="S91" s="1743"/>
      <c r="T91" s="1743"/>
      <c r="U91" s="1743"/>
      <c r="V91" s="1743"/>
    </row>
    <row r="92" spans="1:22" s="1744" customFormat="1" ht="9.9" customHeight="1" thickBot="1" x14ac:dyDescent="0.3">
      <c r="A92" s="1772"/>
      <c r="B92" s="1771"/>
      <c r="C92" s="1740">
        <v>23</v>
      </c>
      <c r="D92" s="1739"/>
      <c r="E92" s="1773">
        <f>IF(ISNA(VLOOKUP(E$80,'Val-Dép'!B23:AA23,21,FALSE)),,VLOOKUP($E$80,'Val-Dép'!B23:AA23,21,FALSE))</f>
        <v>0</v>
      </c>
      <c r="F92" s="1774">
        <f>IF(ISNA(VLOOKUP($E$80,'Val-Dép'!AA23:AG23,6,FALSE)),,VLOOKUP($E$80,'Val-Dép'!AA23:AG23,6,FALSE))</f>
        <v>0</v>
      </c>
      <c r="G92" s="1739"/>
      <c r="H92" s="1770"/>
      <c r="I92" s="1743"/>
      <c r="J92" s="1743"/>
      <c r="K92" s="1772"/>
      <c r="L92" s="1739"/>
      <c r="M92" s="1775">
        <f>IF(ISNA(VLOOKUP($M$80,'Val-Dép'!B45:AM45,38,FALSE)),,VLOOKUP($M$80,'Val-Dép'!B45:AM45,38,FALSE))</f>
        <v>0</v>
      </c>
      <c r="N92" s="1776">
        <f>IF(ISNA(VLOOKUP($M$80,'Val-Dép'!B45:AM45,27,FALSE)),,VLOOKUP($M$80,'Val-Dép'!B45:AM45,27,FALSE))</f>
        <v>0</v>
      </c>
      <c r="O92" s="1739"/>
      <c r="P92" s="1740"/>
      <c r="Q92" s="1772"/>
      <c r="R92" s="1743"/>
      <c r="S92" s="1743"/>
      <c r="T92" s="1743"/>
      <c r="U92" s="1743"/>
      <c r="V92" s="1743"/>
    </row>
    <row r="93" spans="1:22" s="1744" customFormat="1" ht="9.9" customHeight="1" x14ac:dyDescent="0.25">
      <c r="A93" s="1772"/>
      <c r="B93" s="1771"/>
      <c r="C93" s="1739"/>
      <c r="D93" s="1780"/>
      <c r="E93" s="1781">
        <f>SUM(E81:E92)</f>
        <v>0</v>
      </c>
      <c r="F93" s="1782">
        <f>SUM(F82:F92)</f>
        <v>0</v>
      </c>
      <c r="G93" s="1780"/>
      <c r="H93" s="1770"/>
      <c r="I93" s="1743"/>
      <c r="J93" s="1743"/>
      <c r="K93" s="1772"/>
      <c r="L93" s="1739"/>
      <c r="M93" s="1781">
        <f>SUM(M82:M92)</f>
        <v>0</v>
      </c>
      <c r="N93" s="1781">
        <f>SUM(N81:N92)</f>
        <v>0</v>
      </c>
      <c r="O93" s="1780"/>
      <c r="P93" s="1740">
        <v>44</v>
      </c>
      <c r="Q93" s="1772"/>
      <c r="R93" s="1743"/>
      <c r="S93" s="1743"/>
      <c r="T93" s="1743"/>
      <c r="U93" s="1743"/>
      <c r="V93" s="1743"/>
    </row>
    <row r="94" spans="1:22" s="1744" customFormat="1" ht="9.9" customHeight="1" thickBot="1" x14ac:dyDescent="0.3">
      <c r="A94" s="1772"/>
      <c r="B94" s="1771"/>
      <c r="C94" s="1739"/>
      <c r="D94" s="1739"/>
      <c r="E94" s="1821">
        <f>E93-F93</f>
        <v>0</v>
      </c>
      <c r="F94" s="1842" t="s">
        <v>1931</v>
      </c>
      <c r="G94" s="1745"/>
      <c r="H94" s="1814"/>
      <c r="I94" s="1743"/>
      <c r="J94" s="1743"/>
      <c r="K94" s="1772"/>
      <c r="L94" s="1739"/>
      <c r="M94" s="1739"/>
      <c r="N94" s="1822">
        <f>(N93-M93)</f>
        <v>0</v>
      </c>
      <c r="O94" s="1740" t="s">
        <v>189</v>
      </c>
      <c r="P94" s="4150" t="s">
        <v>1918</v>
      </c>
      <c r="Q94" s="4150"/>
      <c r="R94" s="4151"/>
      <c r="S94" s="1743"/>
      <c r="T94" s="1743"/>
      <c r="U94" s="1743"/>
      <c r="V94" s="1743"/>
    </row>
    <row r="95" spans="1:22" s="1744" customFormat="1" ht="9.9" customHeight="1" thickBot="1" x14ac:dyDescent="0.3">
      <c r="A95" s="1772"/>
      <c r="B95" s="1771"/>
      <c r="C95" s="1772"/>
      <c r="D95" s="1772"/>
      <c r="E95" s="1843"/>
      <c r="F95" s="1772"/>
      <c r="G95" s="1772"/>
      <c r="H95" s="1816"/>
      <c r="I95" s="1743"/>
      <c r="J95" s="1743"/>
      <c r="K95" s="1772"/>
      <c r="L95" s="1739"/>
      <c r="M95" s="1772"/>
      <c r="N95" s="1843"/>
      <c r="O95" s="1772"/>
      <c r="P95" s="1771"/>
      <c r="Q95" s="1772"/>
      <c r="R95" s="1743"/>
      <c r="S95" s="1743"/>
      <c r="T95" s="1743"/>
      <c r="U95" s="1743"/>
      <c r="V95" s="1743"/>
    </row>
    <row r="96" spans="1:22" s="1744" customFormat="1" ht="9.9" customHeight="1" x14ac:dyDescent="0.25">
      <c r="A96" s="1772"/>
      <c r="B96" s="1771"/>
      <c r="C96" s="1772"/>
      <c r="D96" s="1772"/>
      <c r="E96" s="1772"/>
      <c r="F96" s="1772"/>
      <c r="G96" s="1772"/>
      <c r="H96" s="1816"/>
      <c r="I96" s="1743"/>
      <c r="J96" s="1743"/>
      <c r="K96" s="1772"/>
      <c r="L96" s="1780"/>
      <c r="M96" s="1772"/>
      <c r="N96" s="1772"/>
      <c r="O96" s="1772"/>
      <c r="P96" s="1771"/>
      <c r="Q96" s="1772"/>
      <c r="R96" s="1743"/>
      <c r="S96" s="1743"/>
      <c r="T96" s="1743"/>
      <c r="U96" s="1743"/>
      <c r="V96" s="1743"/>
    </row>
    <row r="97" spans="1:22" s="1744" customFormat="1" ht="9.9" customHeight="1" x14ac:dyDescent="0.25">
      <c r="A97" s="1772"/>
      <c r="B97" s="1771"/>
      <c r="C97" s="1772"/>
      <c r="D97" s="1772"/>
      <c r="E97" s="1828"/>
      <c r="F97" s="1828"/>
      <c r="G97" s="1772"/>
      <c r="H97" s="1799"/>
      <c r="I97" s="1743"/>
      <c r="J97" s="1743"/>
      <c r="K97" s="1772"/>
      <c r="L97" s="1739"/>
      <c r="M97" s="1828"/>
      <c r="N97" s="1828"/>
      <c r="O97" s="1772"/>
      <c r="P97" s="1771"/>
      <c r="Q97" s="1772"/>
      <c r="R97" s="1743"/>
      <c r="S97" s="1743"/>
      <c r="T97" s="1743"/>
      <c r="U97" s="1743"/>
      <c r="V97" s="1743"/>
    </row>
    <row r="98" spans="1:22" s="1744" customFormat="1" ht="9.9" customHeight="1" x14ac:dyDescent="0.25">
      <c r="A98" s="1772"/>
      <c r="B98" s="1771"/>
      <c r="C98" s="1772"/>
      <c r="D98" s="1844"/>
      <c r="E98" s="1828"/>
      <c r="F98" s="1772"/>
      <c r="G98" s="1772"/>
      <c r="H98" s="1772"/>
      <c r="I98" s="1743"/>
      <c r="J98" s="1743"/>
      <c r="K98" s="1772"/>
      <c r="L98" s="1772"/>
      <c r="M98" s="1772"/>
      <c r="N98" s="1828"/>
      <c r="O98" s="1844"/>
      <c r="P98" s="1771"/>
      <c r="Q98" s="1772"/>
      <c r="R98" s="1743"/>
      <c r="S98" s="1743"/>
      <c r="T98" s="1743"/>
      <c r="U98" s="1743"/>
      <c r="V98" s="1743"/>
    </row>
    <row r="99" spans="1:22" s="1744" customFormat="1" ht="9.9" customHeight="1" x14ac:dyDescent="0.25">
      <c r="A99" s="1772"/>
      <c r="B99" s="1771"/>
      <c r="C99" s="1844"/>
      <c r="D99" s="1844"/>
      <c r="E99" s="1828"/>
      <c r="F99" s="1845"/>
      <c r="G99" s="1844"/>
      <c r="H99" s="1772"/>
      <c r="I99" s="1743"/>
      <c r="J99" s="1743"/>
      <c r="K99" s="1772"/>
      <c r="L99" s="1772"/>
      <c r="M99" s="1845"/>
      <c r="N99" s="1845"/>
      <c r="O99" s="1772"/>
      <c r="P99" s="1771"/>
      <c r="Q99" s="1772"/>
      <c r="R99" s="1743"/>
      <c r="S99" s="1743"/>
      <c r="T99" s="1743"/>
      <c r="U99" s="1743"/>
      <c r="V99" s="1743"/>
    </row>
    <row r="100" spans="1:22" s="1744" customFormat="1" ht="9.9" customHeight="1" thickBot="1" x14ac:dyDescent="0.3">
      <c r="A100" s="1772"/>
      <c r="B100" s="1771"/>
      <c r="C100" s="1772"/>
      <c r="D100" s="1836"/>
      <c r="E100" s="1746" t="s">
        <v>348</v>
      </c>
      <c r="F100" s="1837"/>
      <c r="G100" s="1838"/>
      <c r="H100" s="1772"/>
      <c r="I100" s="1739"/>
      <c r="J100" s="1739"/>
      <c r="K100" s="1772"/>
      <c r="L100" s="1839"/>
      <c r="M100" s="1746" t="s">
        <v>348</v>
      </c>
      <c r="N100" s="1840"/>
      <c r="O100" s="1841"/>
      <c r="P100" s="1771"/>
      <c r="Q100" s="1772"/>
      <c r="R100" s="1743"/>
      <c r="S100" s="1743"/>
      <c r="T100" s="1743"/>
      <c r="U100" s="1743"/>
      <c r="V100" s="1743"/>
    </row>
    <row r="101" spans="1:22" s="1744" customFormat="1" ht="9.9" customHeight="1" thickBot="1" x14ac:dyDescent="0.3">
      <c r="A101" s="1772"/>
      <c r="B101" s="1771"/>
      <c r="C101" s="1772"/>
      <c r="D101" s="1752" t="s">
        <v>192</v>
      </c>
      <c r="E101" s="1753" t="str">
        <f t="array" ref="E101">INDEX('Val-Dép'!B$1:B$25,MIN(IF(COUNTIF($E$11:$E$100,'Val-Dép'!B$13:B$25)=0,ROW($13:$25))))</f>
        <v>C0006</v>
      </c>
      <c r="F101" s="1754">
        <f>IFERROR(VLOOKUP($E$101,'Val-Dép'!$B$13:$D$23,2,FALSE),"")</f>
        <v>0</v>
      </c>
      <c r="G101" s="1752" t="s">
        <v>191</v>
      </c>
      <c r="H101" s="1764"/>
      <c r="I101" s="1739"/>
      <c r="J101" s="1739"/>
      <c r="K101" s="1772"/>
      <c r="L101" s="1752" t="s">
        <v>192</v>
      </c>
      <c r="M101" s="1753">
        <f t="array" ref="M101">INDEX('Val-Dép'!B$1:B$45,MIN(IF(COUNTIF($M$11:$M$100,'Val-Dép'!B$35:B$45)=0,ROW($35:$45))))</f>
        <v>0</v>
      </c>
      <c r="N101" s="1754" t="str">
        <f>IFERROR(VLOOKUP($M$101,'Val-Dép'!$B$40:$D$45,2,FALSE),"")</f>
        <v/>
      </c>
      <c r="O101" s="1752" t="s">
        <v>191</v>
      </c>
      <c r="P101" s="1740"/>
      <c r="Q101" s="1772"/>
      <c r="R101" s="1743"/>
      <c r="S101" s="1743"/>
      <c r="T101" s="1743"/>
      <c r="U101" s="1743"/>
      <c r="V101" s="1743"/>
    </row>
    <row r="102" spans="1:22" s="1744" customFormat="1" ht="9.9" customHeight="1" x14ac:dyDescent="0.25">
      <c r="A102" s="1772"/>
      <c r="B102" s="1844"/>
      <c r="C102" s="1739"/>
      <c r="D102" s="1797" t="s">
        <v>207</v>
      </c>
      <c r="E102" s="1761">
        <f>IFERROR(VLOOKUP($E$101,'Val-Dép'!$B$12:$D$19,3,FALSE),"")</f>
        <v>0</v>
      </c>
      <c r="F102" s="1798" t="s">
        <v>211</v>
      </c>
      <c r="G102" s="1801"/>
      <c r="H102" s="1770"/>
      <c r="I102" s="1739"/>
      <c r="J102" s="1739"/>
      <c r="K102" s="1772"/>
      <c r="L102" s="1801"/>
      <c r="M102" s="1802" t="s">
        <v>208</v>
      </c>
      <c r="N102" s="1761" t="str">
        <f>IFERROR(VLOOKUP($M$101,'Val-Dép'!$B$40:$D$45,3,FALSE),"")</f>
        <v/>
      </c>
      <c r="O102" s="1797" t="s">
        <v>207</v>
      </c>
      <c r="P102" s="1740"/>
      <c r="Q102" s="1772"/>
      <c r="R102" s="1743"/>
      <c r="S102" s="1743"/>
      <c r="T102" s="1743"/>
      <c r="U102" s="1743"/>
      <c r="V102" s="1743"/>
    </row>
    <row r="103" spans="1:22" s="1744" customFormat="1" ht="9.9" customHeight="1" x14ac:dyDescent="0.25">
      <c r="A103" s="1772"/>
      <c r="B103" s="1771"/>
      <c r="C103" s="1740">
        <v>13</v>
      </c>
      <c r="D103" s="1745"/>
      <c r="E103" s="1773">
        <f>IF(ISNA(VLOOKUP($E$101,'Val-Dép'!B13:AA13,21,FALSE)),,VLOOKUP($E$101,'Val-Dép'!B13:AA13,21,FALSE))</f>
        <v>0</v>
      </c>
      <c r="F103" s="1774">
        <f>IF(ISNA(VLOOKUP($E$101,'Val-Dép'!AA13:AG13,6,FALSE)),,VLOOKUP($E$101,'Val-Dép'!AA13:AG13,6,FALSE))</f>
        <v>0</v>
      </c>
      <c r="G103" s="1739"/>
      <c r="H103" s="1770"/>
      <c r="I103" s="1739"/>
      <c r="J103" s="1739"/>
      <c r="K103" s="1772"/>
      <c r="L103" s="1739"/>
      <c r="M103" s="1776">
        <f>IF(ISNA(VLOOKUP($M$101,'Val-Dép'!B35:AM35,38,FALSE)),,VLOOKUP($M$101,'Val-Dép'!B35:AM35,38,FALSE))</f>
        <v>0</v>
      </c>
      <c r="N103" s="1775">
        <f>IF(ISNA(VLOOKUP($M$101,'Val-Dép'!B35:AM35,27,FALSE)),,VLOOKUP($M$101,'Val-Dép'!B35:AM35,27,FALSE))</f>
        <v>0</v>
      </c>
      <c r="O103" s="1745"/>
      <c r="P103" s="1740">
        <v>35</v>
      </c>
      <c r="Q103" s="1772"/>
      <c r="R103" s="1743"/>
      <c r="S103" s="1743"/>
      <c r="T103" s="1743"/>
      <c r="U103" s="1743"/>
      <c r="V103" s="1743"/>
    </row>
    <row r="104" spans="1:22" s="1744" customFormat="1" ht="9.9" customHeight="1" x14ac:dyDescent="0.25">
      <c r="A104" s="1772"/>
      <c r="B104" s="1771"/>
      <c r="C104" s="1740">
        <v>14</v>
      </c>
      <c r="D104" s="1745"/>
      <c r="E104" s="1773">
        <f>IF(ISNA(VLOOKUP($E$101,'Val-Dép'!B14:AA14,21,FALSE)),,VLOOKUP($E$101,'Val-Dép'!B14:AA14,21,FALSE))</f>
        <v>0</v>
      </c>
      <c r="F104" s="1774">
        <f>IF(ISNA(VLOOKUP($E$101,'Val-Dép'!AA14:AG14,6,FALSE)),,VLOOKUP($E$101,'Val-Dép'!AA14:AG14,6,FALSE))</f>
        <v>0</v>
      </c>
      <c r="G104" s="1739"/>
      <c r="H104" s="1770"/>
      <c r="I104" s="1743"/>
      <c r="J104" s="1743"/>
      <c r="K104" s="1772"/>
      <c r="L104" s="1739"/>
      <c r="M104" s="1776">
        <f>IF(ISNA(VLOOKUP($M$101,'Val-Dép'!B36:AM36,38,FALSE)),,VLOOKUP($M$101,'Val-Dép'!B36:AM36,38,FALSE))</f>
        <v>0</v>
      </c>
      <c r="N104" s="1775">
        <f>IF(ISNA(VLOOKUP($M$101,'Val-Dép'!B36:AM36,27,FALSE)),,VLOOKUP($M$101,'Val-Dép'!B36:AM36,27,FALSE))</f>
        <v>0</v>
      </c>
      <c r="O104" s="1745"/>
      <c r="P104" s="1740">
        <v>36</v>
      </c>
      <c r="Q104" s="1772"/>
      <c r="R104" s="1743"/>
      <c r="S104" s="1743"/>
      <c r="T104" s="1743"/>
      <c r="U104" s="1743"/>
      <c r="V104" s="1743"/>
    </row>
    <row r="105" spans="1:22" s="1744" customFormat="1" ht="9.9" customHeight="1" x14ac:dyDescent="0.25">
      <c r="A105" s="1772"/>
      <c r="B105" s="1771"/>
      <c r="C105" s="1740">
        <v>15</v>
      </c>
      <c r="D105" s="1745"/>
      <c r="E105" s="1773">
        <f>IF(ISNA(VLOOKUP($E$101,'Val-Dép'!B15:AA15,21,FALSE)),,VLOOKUP($E$101,'Val-Dép'!B15:AA15,21,FALSE))</f>
        <v>0</v>
      </c>
      <c r="F105" s="1774">
        <f>IF(ISNA(VLOOKUP($E$101,'Val-Dép'!AA15:AG15,6,FALSE)),,VLOOKUP($E$101,'Val-Dép'!AA15:AG15,6,FALSE))</f>
        <v>0</v>
      </c>
      <c r="G105" s="1739"/>
      <c r="H105" s="1770"/>
      <c r="I105" s="1743"/>
      <c r="J105" s="1743"/>
      <c r="K105" s="1772"/>
      <c r="L105" s="1739"/>
      <c r="M105" s="1776">
        <f>IF(ISNA(VLOOKUP($M$101,'Val-Dép'!B37:AM37,38,FALSE)),,VLOOKUP($M$101,'Val-Dép'!B37:AM37,38,FALSE))</f>
        <v>0</v>
      </c>
      <c r="N105" s="1775">
        <f>IF(ISNA(VLOOKUP($M$101,'Val-Dép'!B37:AM37,27,FALSE)),,VLOOKUP($M$101,'Val-Dép'!B37:AM37,27,FALSE))</f>
        <v>0</v>
      </c>
      <c r="O105" s="1745"/>
      <c r="P105" s="1740">
        <v>37</v>
      </c>
      <c r="Q105" s="1772"/>
      <c r="R105" s="1743"/>
      <c r="S105" s="1743"/>
      <c r="T105" s="1743"/>
      <c r="U105" s="1743"/>
      <c r="V105" s="1743"/>
    </row>
    <row r="106" spans="1:22" s="1744" customFormat="1" ht="9.9" customHeight="1" x14ac:dyDescent="0.25">
      <c r="A106" s="1772"/>
      <c r="B106" s="1771"/>
      <c r="C106" s="1740">
        <v>16</v>
      </c>
      <c r="D106" s="1745"/>
      <c r="E106" s="1773">
        <f>IF(ISNA(VLOOKUP($E$101,'Val-Dép'!B16:AA16,21,FALSE)),,VLOOKUP($E$101,'Val-Dép'!B16:AA16,21,FALSE))</f>
        <v>0</v>
      </c>
      <c r="F106" s="1774">
        <f>IF(ISNA(VLOOKUP($E$101,'Val-Dép'!AA16:AG16,6,FALSE)),,VLOOKUP($E$101,'Val-Dép'!AA16:AG16,6,FALSE))</f>
        <v>0</v>
      </c>
      <c r="G106" s="1739"/>
      <c r="H106" s="1770"/>
      <c r="I106" s="1743"/>
      <c r="J106" s="1743"/>
      <c r="K106" s="1772"/>
      <c r="L106" s="1739"/>
      <c r="M106" s="1776">
        <f>IF(ISNA(VLOOKUP($M$101,'Val-Dép'!B38:AM38,38,FALSE)),,VLOOKUP($M$101,'Val-Dép'!B38:AM38,38,FALSE))</f>
        <v>0</v>
      </c>
      <c r="N106" s="1775">
        <f>IF(ISNA(VLOOKUP($M$101,'Val-Dép'!B38:AM38,27,FALSE)),,VLOOKUP($M$101,'Val-Dép'!B38:AM38,27,FALSE))</f>
        <v>0</v>
      </c>
      <c r="O106" s="1745"/>
      <c r="P106" s="1740">
        <v>38</v>
      </c>
      <c r="Q106" s="1772"/>
      <c r="R106" s="1743"/>
      <c r="S106" s="1743"/>
      <c r="T106" s="1743"/>
      <c r="U106" s="1743"/>
      <c r="V106" s="1743"/>
    </row>
    <row r="107" spans="1:22" s="1744" customFormat="1" ht="9.9" customHeight="1" x14ac:dyDescent="0.25">
      <c r="A107" s="1772"/>
      <c r="B107" s="1771"/>
      <c r="C107" s="1740">
        <v>17</v>
      </c>
      <c r="D107" s="1739"/>
      <c r="E107" s="1773">
        <f>IF(ISNA(VLOOKUP($E$101,'Val-Dép'!B17:AA17,21,FALSE)),,VLOOKUP($E$101,'Val-Dép'!B17:AA17,21,FALSE))</f>
        <v>0</v>
      </c>
      <c r="F107" s="1774">
        <f>IF(ISNA(VLOOKUP($E$101,'Val-Dép'!AA17:AG17,6,FALSE)),,VLOOKUP($E$101,'Val-Dép'!AA17:AG17,6,FALSE))</f>
        <v>0</v>
      </c>
      <c r="G107" s="1739"/>
      <c r="H107" s="1770"/>
      <c r="I107" s="1743"/>
      <c r="J107" s="1743"/>
      <c r="K107" s="1772"/>
      <c r="L107" s="1739"/>
      <c r="M107" s="1776">
        <f>IF(ISNA(VLOOKUP($M$101,'Val-Dép'!B39:AM39,38,FALSE)),,VLOOKUP($M$101,'Val-Dép'!B39:AM39,38,FALSE))</f>
        <v>0</v>
      </c>
      <c r="N107" s="1775">
        <f>IF(ISNA(VLOOKUP($M$101,'Val-Dép'!B39:AM39,27,FALSE)),,VLOOKUP($M$101,'Val-Dép'!B39:AM39,27,FALSE))</f>
        <v>0</v>
      </c>
      <c r="O107" s="1739"/>
      <c r="P107" s="1740">
        <v>39</v>
      </c>
      <c r="Q107" s="1772"/>
      <c r="R107" s="1743"/>
      <c r="S107" s="1743"/>
      <c r="T107" s="1743"/>
      <c r="U107" s="1743"/>
      <c r="V107" s="1743"/>
    </row>
    <row r="108" spans="1:22" s="1744" customFormat="1" ht="9.9" customHeight="1" x14ac:dyDescent="0.25">
      <c r="A108" s="1772"/>
      <c r="B108" s="1771"/>
      <c r="C108" s="1740">
        <v>18</v>
      </c>
      <c r="D108" s="1739"/>
      <c r="E108" s="1773">
        <f>IF(ISNA(VLOOKUP($E$101,'Val-Dép'!B18:AA18,21,FALSE)),,VLOOKUP($E$101,'Val-Dép'!B18:AA18,21,FALSE))</f>
        <v>0</v>
      </c>
      <c r="F108" s="1774">
        <f>IF(ISNA(VLOOKUP($E$101,'Val-Dép'!AA18:AG18,6,FALSE)),,VLOOKUP($E$101,'Val-Dép'!AA18:AG18,6,FALSE))</f>
        <v>0</v>
      </c>
      <c r="G108" s="1739"/>
      <c r="H108" s="1770"/>
      <c r="I108" s="1743"/>
      <c r="J108" s="1743"/>
      <c r="K108" s="1772"/>
      <c r="L108" s="1739"/>
      <c r="M108" s="1776">
        <f>IF(ISNA(VLOOKUP($M$101,'Val-Dép'!B40:AM40,38,FALSE)),,VLOOKUP($M$101,'Val-Dép'!B40:AM40,38,FALSE))</f>
        <v>0</v>
      </c>
      <c r="N108" s="1775">
        <f>IF(ISNA(VLOOKUP($M$101,'Val-Dép'!B40:AM40,27,FALSE)),,VLOOKUP($M$101,'Val-Dép'!B40:AM40,27,FALSE))</f>
        <v>0</v>
      </c>
      <c r="O108" s="1739"/>
      <c r="P108" s="1740">
        <v>40</v>
      </c>
      <c r="Q108" s="1772"/>
      <c r="R108" s="1743"/>
      <c r="S108" s="1743"/>
      <c r="T108" s="1743"/>
      <c r="U108" s="1743"/>
      <c r="V108" s="1743"/>
    </row>
    <row r="109" spans="1:22" s="1744" customFormat="1" ht="9.9" customHeight="1" x14ac:dyDescent="0.25">
      <c r="A109" s="1772"/>
      <c r="B109" s="1771"/>
      <c r="C109" s="1740">
        <v>19</v>
      </c>
      <c r="D109" s="1739"/>
      <c r="E109" s="1773">
        <f>IF(ISNA(VLOOKUP($E$101,'Val-Dép'!B19:AA19,21,FALSE)),,VLOOKUP($E$101,'Val-Dép'!B19:AA19,21,FALSE))</f>
        <v>0</v>
      </c>
      <c r="F109" s="1774">
        <f>IF(ISNA(VLOOKUP($E$101,'Val-Dép'!AA19:AG19,6,FALSE)),,VLOOKUP($E$101,'Val-Dép'!AA19:AG19,6,FALSE))</f>
        <v>0</v>
      </c>
      <c r="G109" s="1739"/>
      <c r="H109" s="1770"/>
      <c r="I109" s="1743"/>
      <c r="J109" s="1743"/>
      <c r="K109" s="1772"/>
      <c r="L109" s="1739"/>
      <c r="M109" s="1776">
        <f>IF(ISNA(VLOOKUP($M$101,'Val-Dép'!B41:AM41,38,FALSE)),,VLOOKUP($M$101,'Val-Dép'!B41:AM41,38,FALSE))</f>
        <v>0</v>
      </c>
      <c r="N109" s="1775">
        <f>IF(ISNA(VLOOKUP($M$101,'Val-Dép'!B41:AM41,27,FALSE)),,VLOOKUP($M$101,'Val-Dép'!B41:AM41,27,FALSE))</f>
        <v>0</v>
      </c>
      <c r="O109" s="1739"/>
      <c r="P109" s="1740">
        <v>41</v>
      </c>
      <c r="Q109" s="1772"/>
      <c r="R109" s="1743"/>
      <c r="S109" s="1743"/>
      <c r="T109" s="1743"/>
      <c r="U109" s="1743"/>
      <c r="V109" s="1743"/>
    </row>
    <row r="110" spans="1:22" s="1744" customFormat="1" ht="9.9" customHeight="1" x14ac:dyDescent="0.25">
      <c r="A110" s="1772"/>
      <c r="B110" s="1771"/>
      <c r="C110" s="1740">
        <v>20</v>
      </c>
      <c r="D110" s="1739"/>
      <c r="E110" s="1773">
        <f>IF(ISNA(VLOOKUP($E$101,'Val-Dép'!B20:AA20,21,FALSE)),,VLOOKUP($E$101,'Val-Dép'!B20:AA20,21,FALSE))</f>
        <v>0</v>
      </c>
      <c r="F110" s="1774">
        <f>IF(ISNA(VLOOKUP($E$101,'Val-Dép'!AA20:AG20,6,FALSE)),,VLOOKUP($E$101,'Val-Dép'!AA20:AG20,6,FALSE))</f>
        <v>0</v>
      </c>
      <c r="G110" s="1739"/>
      <c r="H110" s="1770"/>
      <c r="I110" s="1743"/>
      <c r="J110" s="1743"/>
      <c r="K110" s="1772"/>
      <c r="L110" s="1739"/>
      <c r="M110" s="1776">
        <f>IF(ISNA(VLOOKUP($M$101,'Val-Dép'!B42:AM42,38,FALSE)),,VLOOKUP($M$101,'Val-Dép'!B42:AM42,38,FALSE))</f>
        <v>0</v>
      </c>
      <c r="N110" s="1775">
        <f>IF(ISNA(VLOOKUP($M$101,'Val-Dép'!B42:AM42,27,FALSE)),,VLOOKUP($M$101,'Val-Dép'!B42:AM42,27,FALSE))</f>
        <v>0</v>
      </c>
      <c r="O110" s="1739"/>
      <c r="P110" s="1740">
        <v>42</v>
      </c>
      <c r="Q110" s="1772"/>
      <c r="R110" s="1743"/>
      <c r="S110" s="1743"/>
      <c r="T110" s="1743"/>
      <c r="U110" s="1743"/>
      <c r="V110" s="1743"/>
    </row>
    <row r="111" spans="1:22" s="1744" customFormat="1" ht="9.9" customHeight="1" x14ac:dyDescent="0.25">
      <c r="A111" s="1772"/>
      <c r="B111" s="1771"/>
      <c r="C111" s="1740">
        <v>21</v>
      </c>
      <c r="D111" s="1739"/>
      <c r="E111" s="1773">
        <f>IF(ISNA(VLOOKUP($E$101,'Val-Dép'!B21:AA21,21,FALSE)),,VLOOKUP($E$101,'Val-Dép'!B21:AA21,21,FALSE))</f>
        <v>0</v>
      </c>
      <c r="F111" s="1774">
        <f>IF(ISNA(VLOOKUP($E$101,'Val-Dép'!AA21:AG21,6,FALSE)),,VLOOKUP($E$101,'Val-Dép'!AA21:AG21,6,FALSE))</f>
        <v>0</v>
      </c>
      <c r="G111" s="1739"/>
      <c r="H111" s="1770"/>
      <c r="I111" s="1743"/>
      <c r="J111" s="1743"/>
      <c r="K111" s="1772"/>
      <c r="L111" s="1739"/>
      <c r="M111" s="1776">
        <f>IF(ISNA(VLOOKUP($M$101,'Val-Dép'!B43:AM43,38,FALSE)),,VLOOKUP($M$101,'Val-Dép'!B43:AM43,38,FALSE))</f>
        <v>0</v>
      </c>
      <c r="N111" s="1775">
        <f>IF(ISNA(VLOOKUP($M$101,'Val-Dép'!B43:AM43,27,FALSE)),,VLOOKUP($M$101,'Val-Dép'!B43:AM43,27,FALSE))</f>
        <v>0</v>
      </c>
      <c r="O111" s="1739"/>
      <c r="P111" s="1740">
        <v>43</v>
      </c>
      <c r="Q111" s="1772"/>
      <c r="R111" s="1743"/>
      <c r="S111" s="1743"/>
      <c r="T111" s="1743"/>
      <c r="U111" s="1743"/>
      <c r="V111" s="1743"/>
    </row>
    <row r="112" spans="1:22" s="1744" customFormat="1" ht="9.9" customHeight="1" x14ac:dyDescent="0.25">
      <c r="A112" s="1772"/>
      <c r="B112" s="1771"/>
      <c r="C112" s="1740">
        <v>22</v>
      </c>
      <c r="D112" s="1739"/>
      <c r="E112" s="1773">
        <f>IF(ISNA(VLOOKUP($E$101,'Val-Dép'!B22:AA22,21,FALSE)),,VLOOKUP($E$101,'Val-Dép'!B22:AA22,21,FALSE))</f>
        <v>0</v>
      </c>
      <c r="F112" s="1774">
        <f>IF(ISNA(VLOOKUP($E$101,'Val-Dép'!AA22:AG22,6,FALSE)),,VLOOKUP($E$101,'Val-Dép'!AA22:AG22,6,FALSE))</f>
        <v>0</v>
      </c>
      <c r="G112" s="1739"/>
      <c r="H112" s="1770"/>
      <c r="I112" s="1743"/>
      <c r="J112" s="1743"/>
      <c r="K112" s="1772"/>
      <c r="L112" s="1739"/>
      <c r="M112" s="1776">
        <f>IF(ISNA(VLOOKUP($M$101,'Val-Dép'!B44:AM44,38,FALSE)),,VLOOKUP($M$101,'Val-Dép'!B44:AM44,38,FALSE))</f>
        <v>0</v>
      </c>
      <c r="N112" s="1775">
        <f>IF(ISNA(VLOOKUP($M$101,'Val-Dép'!B44:AM44,27,FALSE)),,VLOOKUP($M$101,'Val-Dép'!B44:AM44,27,FALSE))</f>
        <v>0</v>
      </c>
      <c r="O112" s="1739"/>
      <c r="P112" s="1740">
        <v>44</v>
      </c>
      <c r="Q112" s="1772"/>
      <c r="R112" s="1743"/>
      <c r="S112" s="1743"/>
      <c r="T112" s="1743"/>
      <c r="U112" s="1743"/>
      <c r="V112" s="1743"/>
    </row>
    <row r="113" spans="1:22" s="1744" customFormat="1" ht="9.9" customHeight="1" thickBot="1" x14ac:dyDescent="0.3">
      <c r="A113" s="1772"/>
      <c r="B113" s="1771"/>
      <c r="C113" s="1740">
        <v>23</v>
      </c>
      <c r="D113" s="1739"/>
      <c r="E113" s="1773">
        <f>IF(ISNA(VLOOKUP($E$101,'Val-Dép'!B23:AA23,21,FALSE)),,VLOOKUP($E$101,'Val-Dép'!B23:AA23,21,FALSE))</f>
        <v>0</v>
      </c>
      <c r="F113" s="1774">
        <f>IF(ISNA(VLOOKUP($E$101,'Val-Dép'!AA23:AG23,6,FALSE)),,VLOOKUP($E$101,'Val-Dép'!AA23:AG23,6,FALSE))</f>
        <v>0</v>
      </c>
      <c r="G113" s="1739"/>
      <c r="H113" s="1770"/>
      <c r="I113" s="1743"/>
      <c r="J113" s="1743"/>
      <c r="K113" s="1772"/>
      <c r="L113" s="1739"/>
      <c r="M113" s="1776">
        <f>IF(ISNA(VLOOKUP($M$101,'Val-Dép'!B45:AM45,38,FALSE)),,VLOOKUP($M$101,'Val-Dép'!B45:AM45,38,FALSE))</f>
        <v>0</v>
      </c>
      <c r="N113" s="1775">
        <f>IF(ISNA(VLOOKUP($M$101,'Val-Dép'!B45:AM45,27,FALSE)),,VLOOKUP($M$101,'Val-Dép'!B45:AM45,27,FALSE))</f>
        <v>0</v>
      </c>
      <c r="O113" s="1739"/>
      <c r="P113" s="1740"/>
      <c r="Q113" s="1772"/>
      <c r="R113" s="1743"/>
      <c r="S113" s="1743"/>
      <c r="T113" s="1743"/>
      <c r="U113" s="1743"/>
      <c r="V113" s="1743"/>
    </row>
    <row r="114" spans="1:22" s="1744" customFormat="1" ht="9.9" customHeight="1" thickBot="1" x14ac:dyDescent="0.3">
      <c r="A114" s="1772"/>
      <c r="B114" s="1771"/>
      <c r="C114" s="1739"/>
      <c r="D114" s="1780"/>
      <c r="E114" s="1781">
        <f>SUM(E102:E113)</f>
        <v>0</v>
      </c>
      <c r="F114" s="1782">
        <f>SUM(F103:F113)</f>
        <v>0</v>
      </c>
      <c r="G114" s="1780"/>
      <c r="H114" s="1770"/>
      <c r="I114" s="1743"/>
      <c r="J114" s="1743"/>
      <c r="K114" s="1772"/>
      <c r="L114" s="1739"/>
      <c r="M114" s="1781">
        <f>SUM(M103:M113)</f>
        <v>0</v>
      </c>
      <c r="N114" s="1781">
        <f>SUM(N103:N113)</f>
        <v>0</v>
      </c>
      <c r="O114" s="1780"/>
      <c r="P114" s="4150" t="s">
        <v>1919</v>
      </c>
      <c r="Q114" s="4150"/>
      <c r="R114" s="4151"/>
      <c r="S114" s="1743"/>
      <c r="T114" s="1743"/>
      <c r="U114" s="1743"/>
      <c r="V114" s="1743"/>
    </row>
    <row r="115" spans="1:22" s="1744" customFormat="1" ht="9.9" customHeight="1" thickTop="1" thickBot="1" x14ac:dyDescent="0.3">
      <c r="A115" s="1772"/>
      <c r="B115" s="1771"/>
      <c r="C115" s="1739"/>
      <c r="D115" s="1739"/>
      <c r="E115" s="1821">
        <f>E114-F114</f>
        <v>0</v>
      </c>
      <c r="F115" s="1842" t="s">
        <v>1930</v>
      </c>
      <c r="G115" s="1745"/>
      <c r="H115" s="1814"/>
      <c r="I115" s="1743"/>
      <c r="J115" s="1743"/>
      <c r="K115" s="1772"/>
      <c r="L115" s="1739"/>
      <c r="M115" s="1739"/>
      <c r="N115" s="1822">
        <f>(N114-M114)</f>
        <v>0</v>
      </c>
      <c r="O115" s="1740" t="s">
        <v>189</v>
      </c>
      <c r="P115" s="1771"/>
      <c r="Q115" s="1772"/>
      <c r="R115" s="1743"/>
      <c r="S115" s="1743"/>
      <c r="T115" s="1743"/>
      <c r="U115" s="1743"/>
      <c r="V115" s="1743"/>
    </row>
    <row r="116" spans="1:22" s="1744" customFormat="1" ht="9.9" customHeight="1" thickBot="1" x14ac:dyDescent="0.3">
      <c r="A116" s="1772"/>
      <c r="B116" s="1771"/>
      <c r="C116" s="1772"/>
      <c r="D116" s="1772"/>
      <c r="E116" s="1843"/>
      <c r="F116" s="1772"/>
      <c r="G116" s="1772"/>
      <c r="H116" s="1816"/>
      <c r="I116" s="1743"/>
      <c r="J116" s="1743"/>
      <c r="K116" s="1772"/>
      <c r="L116" s="1739"/>
      <c r="M116" s="1772"/>
      <c r="N116" s="1843"/>
      <c r="O116" s="1772"/>
      <c r="P116" s="1771"/>
      <c r="Q116" s="1772"/>
      <c r="R116" s="1743"/>
      <c r="S116" s="1743"/>
      <c r="T116" s="1743"/>
      <c r="U116" s="1743"/>
      <c r="V116" s="1743"/>
    </row>
    <row r="117" spans="1:22" s="1744" customFormat="1" ht="9.9" customHeight="1" x14ac:dyDescent="0.25">
      <c r="A117" s="1772"/>
      <c r="B117" s="1771"/>
      <c r="C117" s="1772"/>
      <c r="D117" s="1772"/>
      <c r="E117" s="1772"/>
      <c r="F117" s="1772"/>
      <c r="G117" s="1772"/>
      <c r="H117" s="1816"/>
      <c r="I117" s="1743"/>
      <c r="J117" s="1743"/>
      <c r="K117" s="1772"/>
      <c r="L117" s="1780"/>
      <c r="M117" s="1772"/>
      <c r="N117" s="1772"/>
      <c r="O117" s="1772"/>
      <c r="P117" s="1771"/>
      <c r="Q117" s="1772"/>
      <c r="R117" s="1743"/>
      <c r="S117" s="1743"/>
      <c r="T117" s="1743"/>
      <c r="U117" s="1743"/>
      <c r="V117" s="1743"/>
    </row>
    <row r="118" spans="1:22" s="1744" customFormat="1" ht="9.9" customHeight="1" thickBot="1" x14ac:dyDescent="0.3">
      <c r="A118" s="1743"/>
      <c r="B118" s="1743"/>
      <c r="C118" s="1772"/>
      <c r="D118" s="1836"/>
      <c r="E118" s="1746" t="s">
        <v>348</v>
      </c>
      <c r="F118" s="1837"/>
      <c r="G118" s="1838"/>
      <c r="H118" s="1772"/>
      <c r="I118" s="1739"/>
      <c r="J118" s="1739"/>
      <c r="K118" s="1772"/>
      <c r="L118" s="1839"/>
      <c r="M118" s="1746" t="s">
        <v>348</v>
      </c>
      <c r="N118" s="1840"/>
      <c r="O118" s="1841"/>
      <c r="P118" s="1771"/>
      <c r="Q118" s="1772"/>
      <c r="R118" s="1743"/>
      <c r="S118" s="1743"/>
      <c r="T118" s="1743"/>
      <c r="U118" s="1743"/>
      <c r="V118" s="1743"/>
    </row>
    <row r="119" spans="1:22" s="1744" customFormat="1" ht="9.9" customHeight="1" thickBot="1" x14ac:dyDescent="0.3">
      <c r="A119" s="1743"/>
      <c r="B119" s="1743"/>
      <c r="C119" s="1772"/>
      <c r="D119" s="1752" t="s">
        <v>192</v>
      </c>
      <c r="E119" s="1753" t="str">
        <f t="array" ref="E119">INDEX('Val-Dép'!B$1:B$25,MIN(IF(COUNTIF($E$11:$E$118,'Val-Dép'!B$13:B$25)=0,ROW($13:$25))))</f>
        <v>C0007</v>
      </c>
      <c r="F119" s="1754">
        <f>IFERROR(VLOOKUP($E$119,'Val-Dép'!$B$13:$D$23,2,FALSE),"")</f>
        <v>0</v>
      </c>
      <c r="G119" s="1752" t="s">
        <v>191</v>
      </c>
      <c r="H119" s="1764"/>
      <c r="I119" s="1739"/>
      <c r="J119" s="1739"/>
      <c r="K119" s="1772"/>
      <c r="L119" s="1752" t="s">
        <v>192</v>
      </c>
      <c r="M119" s="1753">
        <f t="array" ref="M119">INDEX('Val-Dép'!B$1:B$45,MIN(IF(COUNTIF($M$11:$M$118,'Val-Dép'!B$35:B$45)=0,ROW($35:$45))))</f>
        <v>0</v>
      </c>
      <c r="N119" s="1754" t="str">
        <f>IFERROR(VLOOKUP($M$119,'Val-Dép'!$B$41:$D$45,2,FALSE),"")</f>
        <v/>
      </c>
      <c r="O119" s="1752" t="s">
        <v>191</v>
      </c>
      <c r="P119" s="1740"/>
      <c r="Q119" s="1772"/>
      <c r="R119" s="1743"/>
      <c r="S119" s="1743"/>
      <c r="T119" s="1743"/>
      <c r="U119" s="1743"/>
      <c r="V119" s="1743"/>
    </row>
    <row r="120" spans="1:22" s="1744" customFormat="1" ht="9.9" customHeight="1" x14ac:dyDescent="0.25">
      <c r="A120" s="1743"/>
      <c r="B120" s="1743"/>
      <c r="C120" s="1739"/>
      <c r="D120" s="1797" t="s">
        <v>207</v>
      </c>
      <c r="E120" s="1761">
        <f>IFERROR(VLOOKUP($E$119,'Val-Dép'!$B$12:$D$19,3,FALSE),"")</f>
        <v>0</v>
      </c>
      <c r="F120" s="1798" t="s">
        <v>211</v>
      </c>
      <c r="G120" s="1801"/>
      <c r="H120" s="1770"/>
      <c r="I120" s="1739"/>
      <c r="J120" s="1739"/>
      <c r="K120" s="1772"/>
      <c r="L120" s="1801"/>
      <c r="M120" s="1802" t="s">
        <v>208</v>
      </c>
      <c r="N120" s="1761" t="str">
        <f>IFERROR(VLOOKUP($M$119,'Val-Dép'!$B$41:$D$45,3,FALSE),"")</f>
        <v/>
      </c>
      <c r="O120" s="1797" t="s">
        <v>207</v>
      </c>
      <c r="P120" s="1740"/>
      <c r="Q120" s="1772"/>
      <c r="R120" s="1743"/>
      <c r="S120" s="1743"/>
      <c r="T120" s="1743"/>
      <c r="U120" s="1743"/>
      <c r="V120" s="1743"/>
    </row>
    <row r="121" spans="1:22" s="1744" customFormat="1" ht="9.9" customHeight="1" x14ac:dyDescent="0.25">
      <c r="A121" s="1743"/>
      <c r="B121" s="1743"/>
      <c r="C121" s="1740">
        <v>13</v>
      </c>
      <c r="D121" s="1745"/>
      <c r="E121" s="1773">
        <f>IF(ISNA(VLOOKUP($E$119,'Val-Dép'!B13:AA13,21,FALSE)),,VLOOKUP($E$119,'Val-Dép'!B13:AA13,21,FALSE))</f>
        <v>0</v>
      </c>
      <c r="F121" s="1774">
        <f>IF(ISNA(VLOOKUP($E$119,'Val-Dép'!AA13:AG13,6,FALSE)),,VLOOKUP($E$119,'Val-Dép'!AA13:AG13,6,FALSE))</f>
        <v>0</v>
      </c>
      <c r="G121" s="1739"/>
      <c r="H121" s="1770"/>
      <c r="I121" s="1739"/>
      <c r="J121" s="1739"/>
      <c r="K121" s="1772"/>
      <c r="L121" s="1739"/>
      <c r="M121" s="1776">
        <f>IF(ISNA(VLOOKUP($M$119,'Val-Dép'!B35:AM35,38,FALSE)),,VLOOKUP($M$119,'Val-Dép'!B35:AM35,38,FALSE))</f>
        <v>0</v>
      </c>
      <c r="N121" s="1775">
        <f>IF(ISNA(VLOOKUP($M$119,'Val-Dép'!B35:AM35,27,FALSE)),,VLOOKUP($M$119,'Val-Dép'!B35:AM35,27,FALSE))</f>
        <v>0</v>
      </c>
      <c r="O121" s="1745"/>
      <c r="P121" s="1740">
        <v>35</v>
      </c>
      <c r="Q121" s="1772"/>
      <c r="R121" s="1743"/>
      <c r="S121" s="1743"/>
      <c r="T121" s="1743"/>
      <c r="U121" s="1743"/>
      <c r="V121" s="1743"/>
    </row>
    <row r="122" spans="1:22" s="1744" customFormat="1" ht="9.9" customHeight="1" x14ac:dyDescent="0.25">
      <c r="A122" s="1743"/>
      <c r="B122" s="1743"/>
      <c r="C122" s="1740">
        <v>14</v>
      </c>
      <c r="D122" s="1745"/>
      <c r="E122" s="1773">
        <f>IF(ISNA(VLOOKUP($E$119,'Val-Dép'!B14:AA14,21,FALSE)),,VLOOKUP($E$119,'Val-Dép'!B14:AA14,21,FALSE))</f>
        <v>0</v>
      </c>
      <c r="F122" s="1774">
        <f>IF(ISNA(VLOOKUP($E$119,'Val-Dép'!AA14:AG14,6,FALSE)),,VLOOKUP($E$119,'Val-Dép'!AA14:AG14,6,FALSE))</f>
        <v>0</v>
      </c>
      <c r="G122" s="1739"/>
      <c r="H122" s="1770"/>
      <c r="I122" s="1743"/>
      <c r="J122" s="1743"/>
      <c r="K122" s="1772"/>
      <c r="L122" s="1739"/>
      <c r="M122" s="1776">
        <f>IF(ISNA(VLOOKUP($M$119,'Val-Dép'!B36:AM36,38,FALSE)),,VLOOKUP($M$119,'Val-Dép'!B36:AM36,38,FALSE))</f>
        <v>0</v>
      </c>
      <c r="N122" s="1775">
        <f>IF(ISNA(VLOOKUP($M$119,'Val-Dép'!B36:AM36,27,FALSE)),,VLOOKUP($M$119,'Val-Dép'!B36:AM36,27,FALSE))</f>
        <v>0</v>
      </c>
      <c r="O122" s="1745"/>
      <c r="P122" s="1740">
        <v>36</v>
      </c>
      <c r="Q122" s="1772"/>
      <c r="R122" s="1743"/>
      <c r="S122" s="1743"/>
      <c r="T122" s="1743"/>
      <c r="U122" s="1743"/>
      <c r="V122" s="1743"/>
    </row>
    <row r="123" spans="1:22" s="1744" customFormat="1" ht="9.9" customHeight="1" x14ac:dyDescent="0.25">
      <c r="A123" s="1743"/>
      <c r="B123" s="1743"/>
      <c r="C123" s="1740">
        <v>15</v>
      </c>
      <c r="D123" s="1745"/>
      <c r="E123" s="1773">
        <f>IF(ISNA(VLOOKUP($E$119,'Val-Dép'!B15:AA15,21,FALSE)),,VLOOKUP($E$119,'Val-Dép'!B15:AA15,21,FALSE))</f>
        <v>0</v>
      </c>
      <c r="F123" s="1774">
        <f>IF(ISNA(VLOOKUP($E$119,'Val-Dép'!AA15:AG15,6,FALSE)),,VLOOKUP($E$119,'Val-Dép'!AA15:AG15,6,FALSE))</f>
        <v>0</v>
      </c>
      <c r="G123" s="1739"/>
      <c r="H123" s="1770"/>
      <c r="I123" s="1743"/>
      <c r="J123" s="1743"/>
      <c r="K123" s="1772"/>
      <c r="L123" s="1739"/>
      <c r="M123" s="1776">
        <f>IF(ISNA(VLOOKUP($M$119,'Val-Dép'!B37:AM37,38,FALSE)),,VLOOKUP($M$119,'Val-Dép'!B37:AM37,38,FALSE))</f>
        <v>0</v>
      </c>
      <c r="N123" s="1775">
        <f>IF(ISNA(VLOOKUP($M$119,'Val-Dép'!B37:AM37,27,FALSE)),,VLOOKUP($M$119,'Val-Dép'!B37:AM37,27,FALSE))</f>
        <v>0</v>
      </c>
      <c r="O123" s="1745"/>
      <c r="P123" s="1740">
        <v>37</v>
      </c>
      <c r="Q123" s="1772"/>
      <c r="R123" s="1743"/>
      <c r="S123" s="1743"/>
      <c r="T123" s="1743"/>
      <c r="U123" s="1743"/>
      <c r="V123" s="1743"/>
    </row>
    <row r="124" spans="1:22" s="1744" customFormat="1" ht="9.9" customHeight="1" x14ac:dyDescent="0.25">
      <c r="A124" s="1743"/>
      <c r="B124" s="1743"/>
      <c r="C124" s="1740">
        <v>16</v>
      </c>
      <c r="D124" s="1745"/>
      <c r="E124" s="1773">
        <f>IF(ISNA(VLOOKUP($E$119,'Val-Dép'!B16:AA16,21,FALSE)),,VLOOKUP($E$119,'Val-Dép'!B16:AA16,21,FALSE))</f>
        <v>0</v>
      </c>
      <c r="F124" s="1774">
        <f>IF(ISNA(VLOOKUP($E$119,'Val-Dép'!AA16:AG16,6,FALSE)),,VLOOKUP($E$119,'Val-Dép'!AA16:AG16,6,FALSE))</f>
        <v>0</v>
      </c>
      <c r="G124" s="1739"/>
      <c r="H124" s="1770"/>
      <c r="I124" s="1743"/>
      <c r="J124" s="1743"/>
      <c r="K124" s="1772"/>
      <c r="L124" s="1739"/>
      <c r="M124" s="1776">
        <f>IF(ISNA(VLOOKUP($M$119,'Val-Dép'!B38:AM38,38,FALSE)),,VLOOKUP($M$119,'Val-Dép'!B38:AM38,38,FALSE))</f>
        <v>0</v>
      </c>
      <c r="N124" s="1775">
        <f>IF(ISNA(VLOOKUP($M$119,'Val-Dép'!B38:AM38,27,FALSE)),,VLOOKUP($M$119,'Val-Dép'!B38:AM38,27,FALSE))</f>
        <v>0</v>
      </c>
      <c r="O124" s="1745"/>
      <c r="P124" s="1740">
        <v>38</v>
      </c>
      <c r="Q124" s="1772"/>
      <c r="R124" s="1743"/>
      <c r="S124" s="1743"/>
      <c r="T124" s="1743"/>
      <c r="U124" s="1743"/>
      <c r="V124" s="1743"/>
    </row>
    <row r="125" spans="1:22" s="1744" customFormat="1" ht="9.9" customHeight="1" x14ac:dyDescent="0.25">
      <c r="A125" s="1743"/>
      <c r="B125" s="1743"/>
      <c r="C125" s="1740">
        <v>17</v>
      </c>
      <c r="D125" s="1739"/>
      <c r="E125" s="1773">
        <f>IF(ISNA(VLOOKUP($E$119,'Val-Dép'!B17:AA17,21,FALSE)),,VLOOKUP($E$119,'Val-Dép'!B17:AA17,21,FALSE))</f>
        <v>0</v>
      </c>
      <c r="F125" s="1774">
        <f>IF(ISNA(VLOOKUP($E$119,'Val-Dép'!AA17:AG17,6,FALSE)),,VLOOKUP($E$119,'Val-Dép'!AA17:AG17,6,FALSE))</f>
        <v>0</v>
      </c>
      <c r="G125" s="1739"/>
      <c r="H125" s="1770"/>
      <c r="I125" s="1743"/>
      <c r="J125" s="1743"/>
      <c r="K125" s="1772"/>
      <c r="L125" s="1739"/>
      <c r="M125" s="1776">
        <f>IF(ISNA(VLOOKUP($M$119,'Val-Dép'!B39:AM39,38,FALSE)),,VLOOKUP($M$119,'Val-Dép'!B39:AM39,38,FALSE))</f>
        <v>0</v>
      </c>
      <c r="N125" s="1775">
        <f>IF(ISNA(VLOOKUP($M$119,'Val-Dép'!B39:AM39,27,FALSE)),,VLOOKUP($M$119,'Val-Dép'!B39:AM39,27,FALSE))</f>
        <v>0</v>
      </c>
      <c r="O125" s="1739"/>
      <c r="P125" s="1740">
        <v>39</v>
      </c>
      <c r="Q125" s="1772"/>
      <c r="R125" s="1743"/>
      <c r="S125" s="1743"/>
      <c r="T125" s="1743"/>
      <c r="U125" s="1743"/>
      <c r="V125" s="1743"/>
    </row>
    <row r="126" spans="1:22" s="1744" customFormat="1" ht="9.9" customHeight="1" x14ac:dyDescent="0.25">
      <c r="A126" s="1743"/>
      <c r="B126" s="1743"/>
      <c r="C126" s="1740">
        <v>18</v>
      </c>
      <c r="D126" s="1739"/>
      <c r="E126" s="1773">
        <f>IF(ISNA(VLOOKUP($E$119,'Val-Dép'!B18:AA18,21,FALSE)),,VLOOKUP($E$119,'Val-Dép'!B18:AA18,21,FALSE))</f>
        <v>0</v>
      </c>
      <c r="F126" s="1774">
        <f>IF(ISNA(VLOOKUP($E$119,'Val-Dép'!AA18:AG18,6,FALSE)),,VLOOKUP($E$119,'Val-Dép'!AA18:AG18,6,FALSE))</f>
        <v>0</v>
      </c>
      <c r="G126" s="1739"/>
      <c r="H126" s="1770"/>
      <c r="I126" s="1743"/>
      <c r="J126" s="1743"/>
      <c r="K126" s="1772"/>
      <c r="L126" s="1739"/>
      <c r="M126" s="1776">
        <f>IF(ISNA(VLOOKUP($M$119,'Val-Dép'!B40:AM40,38,FALSE)),,VLOOKUP($M$119,'Val-Dép'!B40:AM40,38,FALSE))</f>
        <v>0</v>
      </c>
      <c r="N126" s="1775">
        <f>IF(ISNA(VLOOKUP($M$119,'Val-Dép'!B40:AM40,27,FALSE)),,VLOOKUP($M$119,'Val-Dép'!B40:AM40,27,FALSE))</f>
        <v>0</v>
      </c>
      <c r="O126" s="1739"/>
      <c r="P126" s="1740">
        <v>40</v>
      </c>
      <c r="Q126" s="1772"/>
      <c r="R126" s="1743"/>
      <c r="S126" s="1743"/>
      <c r="T126" s="1743"/>
      <c r="U126" s="1743"/>
      <c r="V126" s="1743"/>
    </row>
    <row r="127" spans="1:22" s="1744" customFormat="1" ht="9.9" customHeight="1" x14ac:dyDescent="0.25">
      <c r="A127" s="1743"/>
      <c r="B127" s="1743"/>
      <c r="C127" s="1740">
        <v>19</v>
      </c>
      <c r="D127" s="1739"/>
      <c r="E127" s="1773">
        <f>IF(ISNA(VLOOKUP($E$119,'Val-Dép'!B19:AA19,21,FALSE)),,VLOOKUP($E$119,'Val-Dép'!B19:AA19,21,FALSE))</f>
        <v>0</v>
      </c>
      <c r="F127" s="1774">
        <f>IF(ISNA(VLOOKUP($E$119,'Val-Dép'!AA19:AG19,6,FALSE)),,VLOOKUP($E$119,'Val-Dép'!AA19:AG19,6,FALSE))</f>
        <v>0</v>
      </c>
      <c r="G127" s="1739"/>
      <c r="H127" s="1770"/>
      <c r="I127" s="1743"/>
      <c r="J127" s="1743"/>
      <c r="K127" s="1772"/>
      <c r="L127" s="1739"/>
      <c r="M127" s="1776">
        <f>IF(ISNA(VLOOKUP($M$119,'Val-Dép'!B41:AM41,38,FALSE)),,VLOOKUP($M$119,'Val-Dép'!B41:AM41,38,FALSE))</f>
        <v>0</v>
      </c>
      <c r="N127" s="1775">
        <f>IF(ISNA(VLOOKUP($M$119,'Val-Dép'!B41:AM41,27,FALSE)),,VLOOKUP($M$119,'Val-Dép'!B41:AM41,27,FALSE))</f>
        <v>0</v>
      </c>
      <c r="O127" s="1739"/>
      <c r="P127" s="1740">
        <v>41</v>
      </c>
      <c r="Q127" s="1772"/>
      <c r="R127" s="1743"/>
      <c r="S127" s="1743"/>
      <c r="T127" s="1743"/>
      <c r="U127" s="1743"/>
      <c r="V127" s="1743"/>
    </row>
    <row r="128" spans="1:22" s="1744" customFormat="1" ht="9.9" customHeight="1" x14ac:dyDescent="0.25">
      <c r="A128" s="1743"/>
      <c r="B128" s="1743"/>
      <c r="C128" s="1740">
        <v>20</v>
      </c>
      <c r="D128" s="1739"/>
      <c r="E128" s="1773">
        <f>IF(ISNA(VLOOKUP($E$119,'Val-Dép'!B20:AA20,21,FALSE)),,VLOOKUP($E$119,'Val-Dép'!B20:AA20,21,FALSE))</f>
        <v>0</v>
      </c>
      <c r="F128" s="1774">
        <f>IF(ISNA(VLOOKUP($E$119,'Val-Dép'!AA20:AG20,6,FALSE)),,VLOOKUP($E$119,'Val-Dép'!AA20:AG20,6,FALSE))</f>
        <v>0</v>
      </c>
      <c r="G128" s="1739"/>
      <c r="H128" s="1770"/>
      <c r="I128" s="1743"/>
      <c r="J128" s="1743"/>
      <c r="K128" s="1772"/>
      <c r="L128" s="1739"/>
      <c r="M128" s="1776">
        <f>IF(ISNA(VLOOKUP($M$119,'Val-Dép'!B42:AM42,38,FALSE)),,VLOOKUP($M$119,'Val-Dép'!B42:AM42,38,FALSE))</f>
        <v>0</v>
      </c>
      <c r="N128" s="1775">
        <f>IF(ISNA(VLOOKUP($M$119,'Val-Dép'!B42:AM42,27,FALSE)),,VLOOKUP($M$119,'Val-Dép'!B42:AM42,27,FALSE))</f>
        <v>0</v>
      </c>
      <c r="O128" s="1739"/>
      <c r="P128" s="1740">
        <v>42</v>
      </c>
      <c r="Q128" s="1772"/>
      <c r="R128" s="1743"/>
      <c r="S128" s="1743"/>
      <c r="T128" s="1743"/>
      <c r="U128" s="1743"/>
      <c r="V128" s="1743"/>
    </row>
    <row r="129" spans="1:22" s="1744" customFormat="1" ht="9.9" customHeight="1" x14ac:dyDescent="0.25">
      <c r="A129" s="1743"/>
      <c r="B129" s="1743"/>
      <c r="C129" s="1740">
        <v>21</v>
      </c>
      <c r="D129" s="1739"/>
      <c r="E129" s="1773">
        <f>IF(ISNA(VLOOKUP($E$119,'Val-Dép'!B21:AA21,21,FALSE)),,VLOOKUP($E$119,'Val-Dép'!B21:AA21,21,FALSE))</f>
        <v>0</v>
      </c>
      <c r="F129" s="1774">
        <f>IF(ISNA(VLOOKUP($E$119,'Val-Dép'!AA21:AG21,6,FALSE)),,VLOOKUP($E$119,'Val-Dép'!AA21:AG21,6,FALSE))</f>
        <v>0</v>
      </c>
      <c r="G129" s="1739"/>
      <c r="H129" s="1770"/>
      <c r="I129" s="1743"/>
      <c r="J129" s="1743"/>
      <c r="K129" s="1772"/>
      <c r="L129" s="1739"/>
      <c r="M129" s="1776">
        <f>IF(ISNA(VLOOKUP($M$119,'Val-Dép'!B43:AM43,38,FALSE)),,VLOOKUP($M$119,'Val-Dép'!B43:AM43,38,FALSE))</f>
        <v>0</v>
      </c>
      <c r="N129" s="1775">
        <f>IF(ISNA(VLOOKUP($M$119,'Val-Dép'!B43:AM43,27,FALSE)),,VLOOKUP($M$119,'Val-Dép'!B43:AM43,27,FALSE))</f>
        <v>0</v>
      </c>
      <c r="O129" s="1739"/>
      <c r="P129" s="1740">
        <v>43</v>
      </c>
      <c r="Q129" s="1772"/>
      <c r="R129" s="1743"/>
      <c r="S129" s="1743"/>
      <c r="T129" s="1743"/>
      <c r="U129" s="1743"/>
      <c r="V129" s="1743"/>
    </row>
    <row r="130" spans="1:22" s="1744" customFormat="1" ht="9.9" customHeight="1" x14ac:dyDescent="0.25">
      <c r="A130" s="1743"/>
      <c r="B130" s="1743"/>
      <c r="C130" s="1740">
        <v>22</v>
      </c>
      <c r="D130" s="1739"/>
      <c r="E130" s="1773">
        <f>IF(ISNA(VLOOKUP($E$119,'Val-Dép'!B22:AA22,21,FALSE)),,VLOOKUP($E$119,'Val-Dép'!B22:AA22,21,FALSE))</f>
        <v>0</v>
      </c>
      <c r="F130" s="1774">
        <f>IF(ISNA(VLOOKUP($E$119,'Val-Dép'!AA22:AG22,6,FALSE)),,VLOOKUP($E$119,'Val-Dép'!AA22:AG22,6,FALSE))</f>
        <v>0</v>
      </c>
      <c r="G130" s="1739"/>
      <c r="H130" s="1770"/>
      <c r="I130" s="1743"/>
      <c r="J130" s="1743"/>
      <c r="K130" s="1772"/>
      <c r="L130" s="1739"/>
      <c r="M130" s="1776">
        <f>IF(ISNA(VLOOKUP($M$119,'Val-Dép'!B44:AM44,38,FALSE)),,VLOOKUP($M$119,'Val-Dép'!B44:AM44,38,FALSE))</f>
        <v>0</v>
      </c>
      <c r="N130" s="1775">
        <f>IF(ISNA(VLOOKUP($M$119,'Val-Dép'!B44:AM44,27,FALSE)),,VLOOKUP($M$119,'Val-Dép'!B44:AM44,27,FALSE))</f>
        <v>0</v>
      </c>
      <c r="O130" s="1739"/>
      <c r="P130" s="1740">
        <v>44</v>
      </c>
      <c r="Q130" s="1772"/>
      <c r="R130" s="1743"/>
      <c r="S130" s="1743"/>
      <c r="T130" s="1743"/>
      <c r="U130" s="1743"/>
      <c r="V130" s="1743"/>
    </row>
    <row r="131" spans="1:22" s="1744" customFormat="1" ht="9.9" customHeight="1" thickBot="1" x14ac:dyDescent="0.3">
      <c r="A131" s="1743"/>
      <c r="B131" s="1743"/>
      <c r="C131" s="1740">
        <v>23</v>
      </c>
      <c r="D131" s="1739"/>
      <c r="E131" s="1773">
        <f>IF(ISNA(VLOOKUP($E$119,'Val-Dép'!B23:AA23,21,FALSE)),,VLOOKUP($E$119,'Val-Dép'!B23:AA23,21,FALSE))</f>
        <v>0</v>
      </c>
      <c r="F131" s="1774">
        <f>IF(ISNA(VLOOKUP($E$119,'Val-Dép'!AA23:AG23,6,FALSE)),,VLOOKUP($E$119,'Val-Dép'!AA23:AG23,6,FALSE))</f>
        <v>0</v>
      </c>
      <c r="G131" s="1739"/>
      <c r="H131" s="1770"/>
      <c r="I131" s="1743"/>
      <c r="J131" s="1743"/>
      <c r="K131" s="1772"/>
      <c r="L131" s="1739"/>
      <c r="M131" s="1776">
        <f>IF(ISNA(VLOOKUP($M$119,'Val-Dép'!B45:AM45,38,FALSE)),,VLOOKUP($M$119,'Val-Dép'!B45:AM45,38,FALSE))</f>
        <v>0</v>
      </c>
      <c r="N131" s="1775">
        <f>IF(ISNA(VLOOKUP($M$119,'Val-Dép'!B45:AM45,27,FALSE)),,VLOOKUP($M$119,'Val-Dép'!B45:AM45,27,FALSE))</f>
        <v>0</v>
      </c>
      <c r="O131" s="1739"/>
      <c r="P131" s="1740"/>
      <c r="Q131" s="1772"/>
      <c r="R131" s="1743"/>
      <c r="S131" s="1743"/>
      <c r="T131" s="1743"/>
      <c r="U131" s="1743"/>
      <c r="V131" s="1743"/>
    </row>
    <row r="132" spans="1:22" s="1744" customFormat="1" ht="9.9" customHeight="1" x14ac:dyDescent="0.25">
      <c r="A132" s="1743"/>
      <c r="B132" s="1743"/>
      <c r="C132" s="1739"/>
      <c r="D132" s="1780"/>
      <c r="E132" s="1781">
        <f>SUM(E120:E131)</f>
        <v>0</v>
      </c>
      <c r="F132" s="1782">
        <f>SUM(F121:F131)</f>
        <v>0</v>
      </c>
      <c r="G132" s="1780"/>
      <c r="H132" s="1770"/>
      <c r="I132" s="1743"/>
      <c r="J132" s="1743"/>
      <c r="K132" s="1772"/>
      <c r="L132" s="1739"/>
      <c r="M132" s="1781">
        <f>SUM(M121:M131)</f>
        <v>0</v>
      </c>
      <c r="N132" s="1781">
        <f>SUM(N121:N131)</f>
        <v>0</v>
      </c>
      <c r="O132" s="1780"/>
      <c r="P132" s="1846"/>
      <c r="Q132" s="1772"/>
      <c r="R132" s="1743"/>
      <c r="S132" s="1743"/>
      <c r="T132" s="1743"/>
      <c r="U132" s="1743"/>
      <c r="V132" s="1743"/>
    </row>
    <row r="133" spans="1:22" s="1744" customFormat="1" ht="9.9" customHeight="1" thickBot="1" x14ac:dyDescent="0.3">
      <c r="A133" s="1743"/>
      <c r="B133" s="1743"/>
      <c r="C133" s="1739"/>
      <c r="D133" s="1739"/>
      <c r="E133" s="1821">
        <f>E132-F132</f>
        <v>0</v>
      </c>
      <c r="F133" s="1842" t="s">
        <v>1929</v>
      </c>
      <c r="G133" s="1745"/>
      <c r="H133" s="1814"/>
      <c r="I133" s="1743"/>
      <c r="J133" s="1743"/>
      <c r="K133" s="1772"/>
      <c r="L133" s="1739"/>
      <c r="M133" s="1739"/>
      <c r="N133" s="1822">
        <f>(N132-M132)</f>
        <v>0</v>
      </c>
      <c r="O133" s="1740" t="s">
        <v>189</v>
      </c>
      <c r="P133" s="4150" t="s">
        <v>1920</v>
      </c>
      <c r="Q133" s="4150"/>
      <c r="R133" s="4151"/>
      <c r="S133" s="1743"/>
      <c r="T133" s="1743"/>
      <c r="U133" s="1743"/>
      <c r="V133" s="1743"/>
    </row>
    <row r="134" spans="1:22" s="1744" customFormat="1" ht="9.9" customHeight="1" x14ac:dyDescent="0.25">
      <c r="A134" s="1743"/>
      <c r="B134" s="1743"/>
      <c r="C134" s="1743"/>
      <c r="D134" s="1743"/>
      <c r="E134" s="1743"/>
      <c r="F134" s="1847"/>
      <c r="G134" s="1743"/>
      <c r="H134" s="1743"/>
      <c r="I134" s="1743"/>
      <c r="J134" s="1743"/>
      <c r="K134" s="1743"/>
      <c r="L134" s="1743"/>
      <c r="M134" s="1743"/>
      <c r="N134" s="1743"/>
      <c r="O134" s="1743"/>
      <c r="P134" s="1743"/>
      <c r="Q134" s="1743"/>
      <c r="R134" s="1743"/>
      <c r="S134" s="1743"/>
      <c r="T134" s="1743"/>
      <c r="U134" s="1743"/>
      <c r="V134" s="1743"/>
    </row>
    <row r="135" spans="1:22" s="1744" customFormat="1" ht="9.9" customHeight="1" thickBot="1" x14ac:dyDescent="0.3">
      <c r="A135" s="1743"/>
      <c r="B135" s="1743"/>
      <c r="C135" s="1772"/>
      <c r="D135" s="1836"/>
      <c r="E135" s="1746" t="s">
        <v>348</v>
      </c>
      <c r="F135" s="1837"/>
      <c r="G135" s="1838"/>
      <c r="H135" s="1772"/>
      <c r="I135" s="1739"/>
      <c r="J135" s="1739"/>
      <c r="K135" s="1772"/>
      <c r="L135" s="1839"/>
      <c r="M135" s="1746" t="s">
        <v>348</v>
      </c>
      <c r="N135" s="1840"/>
      <c r="O135" s="1841"/>
      <c r="P135" s="1771"/>
      <c r="Q135" s="1743"/>
      <c r="R135" s="1743"/>
      <c r="S135" s="1743"/>
      <c r="T135" s="1743"/>
      <c r="U135" s="1743"/>
      <c r="V135" s="1743"/>
    </row>
    <row r="136" spans="1:22" s="1744" customFormat="1" ht="9.9" customHeight="1" thickBot="1" x14ac:dyDescent="0.3">
      <c r="A136" s="1743"/>
      <c r="B136" s="1743"/>
      <c r="C136" s="1772"/>
      <c r="D136" s="1752" t="s">
        <v>192</v>
      </c>
      <c r="E136" s="1753" t="str">
        <f t="array" ref="E136">INDEX('Val-Dép'!B$1:B$25,MIN(IF(COUNTIF($E$11:$E$135,'Val-Dép'!B$13:B$25)=0,ROW($13:$25))))</f>
        <v>C0008</v>
      </c>
      <c r="F136" s="1754">
        <f>IFERROR(VLOOKUP($E$136,'Val-Dép'!$B$12:$D$26,2,FALSE),"")</f>
        <v>0</v>
      </c>
      <c r="G136" s="1752" t="s">
        <v>191</v>
      </c>
      <c r="H136" s="1764"/>
      <c r="I136" s="1739"/>
      <c r="J136" s="1739"/>
      <c r="K136" s="1772"/>
      <c r="L136" s="1752" t="s">
        <v>192</v>
      </c>
      <c r="M136" s="1753">
        <f t="array" ref="M136">INDEX('Val-Dép'!B$1:B$45,MIN(IF(COUNTIF($M$11:$M$135,'Val-Dép'!B$35:B$45)=0,ROW($35:$45))))</f>
        <v>0</v>
      </c>
      <c r="N136" s="1754" t="str">
        <f>IFERROR(VLOOKUP($M$136,'Val-Dép'!$B$42:$D$45,2,FALSE),"")</f>
        <v/>
      </c>
      <c r="O136" s="1752" t="s">
        <v>191</v>
      </c>
      <c r="P136" s="1740"/>
      <c r="Q136" s="1743"/>
      <c r="R136" s="1743"/>
      <c r="S136" s="1743"/>
      <c r="T136" s="1743"/>
      <c r="U136" s="1743"/>
      <c r="V136" s="1743"/>
    </row>
    <row r="137" spans="1:22" s="1744" customFormat="1" ht="9.9" customHeight="1" x14ac:dyDescent="0.25">
      <c r="A137" s="1743"/>
      <c r="B137" s="1743"/>
      <c r="C137" s="1739"/>
      <c r="D137" s="1797" t="s">
        <v>207</v>
      </c>
      <c r="E137" s="1761">
        <f>IFERROR(VLOOKUP($E$136,'Val-Dép'!$B$12:$D$26,3,FALSE),"")</f>
        <v>0</v>
      </c>
      <c r="F137" s="1798" t="s">
        <v>211</v>
      </c>
      <c r="G137" s="1801"/>
      <c r="H137" s="1770"/>
      <c r="I137" s="1739"/>
      <c r="J137" s="1739"/>
      <c r="K137" s="1772"/>
      <c r="L137" s="1801"/>
      <c r="M137" s="1802" t="s">
        <v>208</v>
      </c>
      <c r="N137" s="1761" t="str">
        <f>IFERROR(VLOOKUP($M$136,'Val-Dép'!$B$42:$D$45,3,FALSE),"")</f>
        <v/>
      </c>
      <c r="O137" s="1797" t="s">
        <v>207</v>
      </c>
      <c r="P137" s="1740"/>
      <c r="Q137" s="1743"/>
      <c r="R137" s="1743"/>
      <c r="S137" s="1743"/>
      <c r="T137" s="1743"/>
      <c r="U137" s="1743"/>
      <c r="V137" s="1743"/>
    </row>
    <row r="138" spans="1:22" s="1744" customFormat="1" ht="9.9" customHeight="1" x14ac:dyDescent="0.25">
      <c r="A138" s="1743"/>
      <c r="B138" s="1743"/>
      <c r="C138" s="1740">
        <v>13</v>
      </c>
      <c r="D138" s="1745"/>
      <c r="E138" s="1773">
        <f>IF(ISNA(VLOOKUP($E$136,'Val-Dép'!B13:AA13,21,FALSE)),,VLOOKUP($E$136,'Val-Dép'!B13:AA13,21,FALSE))</f>
        <v>0</v>
      </c>
      <c r="F138" s="1774">
        <f>IF(ISNA(VLOOKUP($E$136,'Val-Dép'!AA13:AG13,6,FALSE)),,VLOOKUP($E$136,'Val-Dép'!AA13:AG13,6,FALSE))</f>
        <v>0</v>
      </c>
      <c r="G138" s="1739"/>
      <c r="H138" s="1770"/>
      <c r="I138" s="1739"/>
      <c r="J138" s="1739"/>
      <c r="K138" s="1772"/>
      <c r="L138" s="1739"/>
      <c r="M138" s="1776">
        <f>IF(ISNA(VLOOKUP($M$136,'Val-Dép'!B35:AM35,38,FALSE)),,VLOOKUP($M$136,'Val-Dép'!B35:AM35,38,FALSE))</f>
        <v>0</v>
      </c>
      <c r="N138" s="1775">
        <f>IF(ISNA(VLOOKUP($M$136,'Val-Dép'!B35:AM35,27,FALSE)),,VLOOKUP($M$136,'Val-Dép'!B35:AM35,27,FALSE))</f>
        <v>0</v>
      </c>
      <c r="O138" s="1745"/>
      <c r="P138" s="1740">
        <v>35</v>
      </c>
      <c r="Q138" s="1743"/>
      <c r="R138" s="1743"/>
      <c r="S138" s="1743"/>
      <c r="T138" s="1743"/>
      <c r="U138" s="1743"/>
      <c r="V138" s="1743"/>
    </row>
    <row r="139" spans="1:22" s="1744" customFormat="1" ht="9.9" customHeight="1" x14ac:dyDescent="0.25">
      <c r="A139" s="1743"/>
      <c r="B139" s="1743"/>
      <c r="C139" s="1740">
        <v>14</v>
      </c>
      <c r="D139" s="1745"/>
      <c r="E139" s="1773">
        <f>IF(ISNA(VLOOKUP($E$136,'Val-Dép'!B14:AA14,21,FALSE)),,VLOOKUP($E$136,'Val-Dép'!B14:AA14,21,FALSE))</f>
        <v>0</v>
      </c>
      <c r="F139" s="1774">
        <f>IF(ISNA(VLOOKUP($E$136,'Val-Dép'!AA14:AG14,6,FALSE)),,VLOOKUP($E$136,'Val-Dép'!AA14:AG14,6,FALSE))</f>
        <v>0</v>
      </c>
      <c r="G139" s="1739"/>
      <c r="H139" s="1770"/>
      <c r="I139" s="1743"/>
      <c r="J139" s="1743"/>
      <c r="K139" s="1772"/>
      <c r="L139" s="1739"/>
      <c r="M139" s="1776">
        <f>IF(ISNA(VLOOKUP($M$136,'Val-Dép'!B36:AM36,38,FALSE)),,VLOOKUP($M$136,'Val-Dép'!B36:AM36,38,FALSE))</f>
        <v>0</v>
      </c>
      <c r="N139" s="1775">
        <f>IF(ISNA(VLOOKUP($M$136,'Val-Dép'!B36:AM36,27,FALSE)),,VLOOKUP($M$136,'Val-Dép'!B36:AM36,27,FALSE))</f>
        <v>0</v>
      </c>
      <c r="O139" s="1745"/>
      <c r="P139" s="1740">
        <v>36</v>
      </c>
      <c r="Q139" s="1743"/>
      <c r="R139" s="1743"/>
      <c r="S139" s="1743"/>
      <c r="T139" s="1743"/>
      <c r="U139" s="1743"/>
      <c r="V139" s="1743"/>
    </row>
    <row r="140" spans="1:22" s="1744" customFormat="1" ht="9.9" customHeight="1" x14ac:dyDescent="0.25">
      <c r="A140" s="1743"/>
      <c r="B140" s="1743"/>
      <c r="C140" s="1740">
        <v>15</v>
      </c>
      <c r="D140" s="1745"/>
      <c r="E140" s="1773">
        <f>IF(ISNA(VLOOKUP($E$136,'Val-Dép'!B15:AA15,21,FALSE)),,VLOOKUP($E$136,'Val-Dép'!B15:AA15,21,FALSE))</f>
        <v>0</v>
      </c>
      <c r="F140" s="1774">
        <f>IF(ISNA(VLOOKUP($E$136,'Val-Dép'!AA15:AG15,6,FALSE)),,VLOOKUP($E$136,'Val-Dép'!AA15:AG15,6,FALSE))</f>
        <v>0</v>
      </c>
      <c r="G140" s="1739"/>
      <c r="H140" s="1770"/>
      <c r="I140" s="1743"/>
      <c r="J140" s="1743"/>
      <c r="K140" s="1772"/>
      <c r="L140" s="1739"/>
      <c r="M140" s="1776">
        <f>IF(ISNA(VLOOKUP($M$136,'Val-Dép'!B37:AM37,38,FALSE)),,VLOOKUP($M$136,'Val-Dép'!B37:AM37,38,FALSE))</f>
        <v>0</v>
      </c>
      <c r="N140" s="1775">
        <f>IF(ISNA(VLOOKUP($M$136,'Val-Dép'!B37:AM37,27,FALSE)),,VLOOKUP($M$136,'Val-Dép'!B37:AM37,27,FALSE))</f>
        <v>0</v>
      </c>
      <c r="O140" s="1745"/>
      <c r="P140" s="1740">
        <v>37</v>
      </c>
      <c r="Q140" s="1743"/>
      <c r="R140" s="1743"/>
      <c r="S140" s="1743"/>
      <c r="T140" s="1743"/>
      <c r="U140" s="1743"/>
      <c r="V140" s="1743"/>
    </row>
    <row r="141" spans="1:22" s="1744" customFormat="1" ht="9.9" customHeight="1" x14ac:dyDescent="0.25">
      <c r="A141" s="1743"/>
      <c r="B141" s="1743"/>
      <c r="C141" s="1740">
        <v>16</v>
      </c>
      <c r="D141" s="1745"/>
      <c r="E141" s="1773">
        <f>IF(ISNA(VLOOKUP($E$136,'Val-Dép'!B16:AA16,21,FALSE)),,VLOOKUP($E$136,'Val-Dép'!B16:AA16,21,FALSE))</f>
        <v>0</v>
      </c>
      <c r="F141" s="1774">
        <f>IF(ISNA(VLOOKUP($E$136,'Val-Dép'!AA16:AG16,6,FALSE)),,VLOOKUP($E$136,'Val-Dép'!AA16:AG16,6,FALSE))</f>
        <v>0</v>
      </c>
      <c r="G141" s="1739"/>
      <c r="H141" s="1770"/>
      <c r="I141" s="1743"/>
      <c r="J141" s="1743"/>
      <c r="K141" s="1772"/>
      <c r="L141" s="1739"/>
      <c r="M141" s="1776">
        <f>IF(ISNA(VLOOKUP($M$136,'Val-Dép'!B38:AM38,38,FALSE)),,VLOOKUP($M$136,'Val-Dép'!B38:AM38,38,FALSE))</f>
        <v>0</v>
      </c>
      <c r="N141" s="1775">
        <f>IF(ISNA(VLOOKUP($M$136,'Val-Dép'!B38:AM38,27,FALSE)),,VLOOKUP($M$136,'Val-Dép'!B38:AM38,27,FALSE))</f>
        <v>0</v>
      </c>
      <c r="O141" s="1745"/>
      <c r="P141" s="1740">
        <v>38</v>
      </c>
      <c r="Q141" s="1743"/>
      <c r="R141" s="1743"/>
      <c r="S141" s="1743"/>
      <c r="T141" s="1743"/>
      <c r="U141" s="1743"/>
      <c r="V141" s="1743"/>
    </row>
    <row r="142" spans="1:22" s="1744" customFormat="1" ht="9.9" customHeight="1" x14ac:dyDescent="0.25">
      <c r="A142" s="1743"/>
      <c r="B142" s="1743"/>
      <c r="C142" s="1740">
        <v>17</v>
      </c>
      <c r="D142" s="1739"/>
      <c r="E142" s="1773">
        <f>IF(ISNA(VLOOKUP($E$136,'Val-Dép'!B17:AA17,21,FALSE)),,VLOOKUP($E$136,'Val-Dép'!B17:AA17,21,FALSE))</f>
        <v>0</v>
      </c>
      <c r="F142" s="1774">
        <f>IF(ISNA(VLOOKUP($E$136,'Val-Dép'!AA17:AG17,6,FALSE)),,VLOOKUP($E$136,'Val-Dép'!AA17:AG17,6,FALSE))</f>
        <v>0</v>
      </c>
      <c r="G142" s="1739"/>
      <c r="H142" s="1770"/>
      <c r="I142" s="1743"/>
      <c r="J142" s="1743"/>
      <c r="K142" s="1772"/>
      <c r="L142" s="1739"/>
      <c r="M142" s="1776">
        <f>IF(ISNA(VLOOKUP($M$136,'Val-Dép'!B39:AM39,38,FALSE)),,VLOOKUP($M$136,'Val-Dép'!B39:AM39,38,FALSE))</f>
        <v>0</v>
      </c>
      <c r="N142" s="1775">
        <f>IF(ISNA(VLOOKUP($M$136,'Val-Dép'!B39:AM39,27,FALSE)),,VLOOKUP($M$136,'Val-Dép'!B39:AM39,27,FALSE))</f>
        <v>0</v>
      </c>
      <c r="O142" s="1739"/>
      <c r="P142" s="1740">
        <v>39</v>
      </c>
      <c r="Q142" s="1743"/>
      <c r="R142" s="1743"/>
      <c r="S142" s="1743"/>
      <c r="T142" s="1743"/>
      <c r="U142" s="1743"/>
      <c r="V142" s="1743"/>
    </row>
    <row r="143" spans="1:22" s="1744" customFormat="1" ht="9.9" customHeight="1" x14ac:dyDescent="0.25">
      <c r="A143" s="1743"/>
      <c r="B143" s="1743"/>
      <c r="C143" s="1740">
        <v>18</v>
      </c>
      <c r="D143" s="1739"/>
      <c r="E143" s="1773">
        <f>IF(ISNA(VLOOKUP($E$136,'Val-Dép'!B18:AA18,21,FALSE)),,VLOOKUP($E$136,'Val-Dép'!B18:AA18,21,FALSE))</f>
        <v>0</v>
      </c>
      <c r="F143" s="1774">
        <f>IF(ISNA(VLOOKUP($E$136,'Val-Dép'!AA18:AG18,6,FALSE)),,VLOOKUP($E$136,'Val-Dép'!AA18:AG18,6,FALSE))</f>
        <v>0</v>
      </c>
      <c r="G143" s="1739"/>
      <c r="H143" s="1770"/>
      <c r="I143" s="1743"/>
      <c r="J143" s="1743"/>
      <c r="K143" s="1772"/>
      <c r="L143" s="1739"/>
      <c r="M143" s="1776">
        <f>IF(ISNA(VLOOKUP($M$136,'Val-Dép'!B40:AM40,38,FALSE)),,VLOOKUP($M$136,'Val-Dép'!B40:AM40,38,FALSE))</f>
        <v>0</v>
      </c>
      <c r="N143" s="1775">
        <f>IF(ISNA(VLOOKUP($M$136,'Val-Dép'!B40:AM40,27,FALSE)),,VLOOKUP($M$136,'Val-Dép'!B40:AM40,27,FALSE))</f>
        <v>0</v>
      </c>
      <c r="O143" s="1739"/>
      <c r="P143" s="1740">
        <v>40</v>
      </c>
      <c r="Q143" s="1743"/>
      <c r="R143" s="1743"/>
      <c r="S143" s="1743"/>
      <c r="T143" s="1743"/>
      <c r="U143" s="1743"/>
      <c r="V143" s="1743"/>
    </row>
    <row r="144" spans="1:22" s="1744" customFormat="1" ht="9.9" customHeight="1" x14ac:dyDescent="0.25">
      <c r="A144" s="1743"/>
      <c r="B144" s="1743"/>
      <c r="C144" s="1740">
        <v>19</v>
      </c>
      <c r="D144" s="1739"/>
      <c r="E144" s="1773">
        <f>IF(ISNA(VLOOKUP($E$136,'Val-Dép'!B19:AA19,21,FALSE)),,VLOOKUP($E$136,'Val-Dép'!B19:AA19,21,FALSE))</f>
        <v>0</v>
      </c>
      <c r="F144" s="1774">
        <f>IF(ISNA(VLOOKUP($E$136,'Val-Dép'!AA19:AG19,6,FALSE)),,VLOOKUP($E$136,'Val-Dép'!AA19:AG19,6,FALSE))</f>
        <v>0</v>
      </c>
      <c r="G144" s="1739"/>
      <c r="H144" s="1770"/>
      <c r="I144" s="1743"/>
      <c r="J144" s="1743"/>
      <c r="K144" s="1772"/>
      <c r="L144" s="1739"/>
      <c r="M144" s="1776">
        <f>IF(ISNA(VLOOKUP($M$136,'Val-Dép'!B41:AM41,38,FALSE)),,VLOOKUP($M$136,'Val-Dép'!B41:AM41,38,FALSE))</f>
        <v>0</v>
      </c>
      <c r="N144" s="1775">
        <f>IF(ISNA(VLOOKUP($M$136,'Val-Dép'!B41:AM41,27,FALSE)),,VLOOKUP($M$136,'Val-Dép'!B41:AM41,27,FALSE))</f>
        <v>0</v>
      </c>
      <c r="O144" s="1739"/>
      <c r="P144" s="1740">
        <v>41</v>
      </c>
      <c r="Q144" s="1743"/>
      <c r="R144" s="1743"/>
      <c r="S144" s="1743"/>
      <c r="T144" s="1743"/>
      <c r="U144" s="1743"/>
      <c r="V144" s="1743"/>
    </row>
    <row r="145" spans="1:22" s="1744" customFormat="1" ht="9.9" customHeight="1" x14ac:dyDescent="0.25">
      <c r="A145" s="1743"/>
      <c r="B145" s="1743"/>
      <c r="C145" s="1740">
        <v>20</v>
      </c>
      <c r="D145" s="1739"/>
      <c r="E145" s="1773">
        <f>IF(ISNA(VLOOKUP($E$136,'Val-Dép'!B20:AA20,21,FALSE)),,VLOOKUP($E$136,'Val-Dép'!B20:AA20,21,FALSE))</f>
        <v>0</v>
      </c>
      <c r="F145" s="1774">
        <f>IF(ISNA(VLOOKUP($E$136,'Val-Dép'!AA20:AG20,6,FALSE)),,VLOOKUP($E$136,'Val-Dép'!AA20:AG20,6,FALSE))</f>
        <v>0</v>
      </c>
      <c r="G145" s="1739"/>
      <c r="H145" s="1770"/>
      <c r="I145" s="1743"/>
      <c r="J145" s="1743"/>
      <c r="K145" s="1772"/>
      <c r="L145" s="1739"/>
      <c r="M145" s="1776">
        <f>IF(ISNA(VLOOKUP($M$136,'Val-Dép'!B42:AM42,38,FALSE)),,VLOOKUP($M$136,'Val-Dép'!B42:AM42,38,FALSE))</f>
        <v>0</v>
      </c>
      <c r="N145" s="1775">
        <f>IF(ISNA(VLOOKUP($M$136,'Val-Dép'!B42:AM42,27,FALSE)),,VLOOKUP($M$136,'Val-Dép'!B42:AM42,27,FALSE))</f>
        <v>0</v>
      </c>
      <c r="O145" s="1739"/>
      <c r="P145" s="1740">
        <v>42</v>
      </c>
      <c r="Q145" s="1743"/>
      <c r="R145" s="1743"/>
      <c r="S145" s="1743"/>
      <c r="T145" s="1743"/>
      <c r="U145" s="1743"/>
      <c r="V145" s="1743"/>
    </row>
    <row r="146" spans="1:22" s="1744" customFormat="1" ht="9.9" customHeight="1" x14ac:dyDescent="0.25">
      <c r="A146" s="1743"/>
      <c r="B146" s="1743"/>
      <c r="C146" s="1740">
        <v>21</v>
      </c>
      <c r="D146" s="1739"/>
      <c r="E146" s="1773">
        <f>IF(ISNA(VLOOKUP($E$136,'Val-Dép'!B21:AA21,21,FALSE)),,VLOOKUP($E$136,'Val-Dép'!B21:AA21,21,FALSE))</f>
        <v>0</v>
      </c>
      <c r="F146" s="1774">
        <f>IF(ISNA(VLOOKUP($E$136,'Val-Dép'!AA21:AG21,6,FALSE)),,VLOOKUP($E$136,'Val-Dép'!AA21:AG21,6,FALSE))</f>
        <v>0</v>
      </c>
      <c r="G146" s="1739"/>
      <c r="H146" s="1770"/>
      <c r="I146" s="1743"/>
      <c r="J146" s="1743"/>
      <c r="K146" s="1772"/>
      <c r="L146" s="1739"/>
      <c r="M146" s="1776">
        <f>IF(ISNA(VLOOKUP($M$136,'Val-Dép'!B43:AM43,38,FALSE)),,VLOOKUP($M$136,'Val-Dép'!B43:AM43,38,FALSE))</f>
        <v>0</v>
      </c>
      <c r="N146" s="1775">
        <f>IF(ISNA(VLOOKUP($M$136,'Val-Dép'!B43:AM43,27,FALSE)),,VLOOKUP($M$136,'Val-Dép'!B43:AM43,27,FALSE))</f>
        <v>0</v>
      </c>
      <c r="O146" s="1739"/>
      <c r="P146" s="1740">
        <v>43</v>
      </c>
      <c r="Q146" s="1743"/>
      <c r="R146" s="1743"/>
      <c r="S146" s="1743"/>
      <c r="T146" s="1743"/>
      <c r="U146" s="1743"/>
      <c r="V146" s="1743"/>
    </row>
    <row r="147" spans="1:22" s="1744" customFormat="1" ht="9.9" customHeight="1" x14ac:dyDescent="0.25">
      <c r="A147" s="1743"/>
      <c r="B147" s="1743"/>
      <c r="C147" s="1740">
        <v>22</v>
      </c>
      <c r="D147" s="1739"/>
      <c r="E147" s="1773">
        <f>IF(ISNA(VLOOKUP($E$136,'Val-Dép'!B22:AA22,21,FALSE)),,VLOOKUP($E$136,'Val-Dép'!B22:AA22,21,FALSE))</f>
        <v>0</v>
      </c>
      <c r="F147" s="1774">
        <f>IF(ISNA(VLOOKUP($E$136,'Val-Dép'!AA22:AG22,6,FALSE)),,VLOOKUP($E$136,'Val-Dép'!AA22:AG22,6,FALSE))</f>
        <v>0</v>
      </c>
      <c r="G147" s="1739"/>
      <c r="H147" s="1770"/>
      <c r="I147" s="1743"/>
      <c r="J147" s="1743"/>
      <c r="K147" s="1772"/>
      <c r="L147" s="1739"/>
      <c r="M147" s="1776">
        <f>IF(ISNA(VLOOKUP($M$136,'Val-Dép'!B44:AM44,38,FALSE)),,VLOOKUP($M$136,'Val-Dép'!B44:AM44,38,FALSE))</f>
        <v>0</v>
      </c>
      <c r="N147" s="1775">
        <f>IF(ISNA(VLOOKUP($M$136,'Val-Dép'!B44:AM44,27,FALSE)),,VLOOKUP($M$136,'Val-Dép'!B44:AM44,27,FALSE))</f>
        <v>0</v>
      </c>
      <c r="O147" s="1739"/>
      <c r="P147" s="1740">
        <v>44</v>
      </c>
      <c r="Q147" s="1743"/>
      <c r="R147" s="1743"/>
      <c r="S147" s="1743"/>
      <c r="T147" s="1743"/>
      <c r="U147" s="1743"/>
      <c r="V147" s="1743"/>
    </row>
    <row r="148" spans="1:22" s="1744" customFormat="1" ht="9.9" customHeight="1" thickBot="1" x14ac:dyDescent="0.3">
      <c r="A148" s="1743"/>
      <c r="B148" s="1743"/>
      <c r="C148" s="1740">
        <v>23</v>
      </c>
      <c r="D148" s="1739"/>
      <c r="E148" s="1773">
        <f>IF(ISNA(VLOOKUP($E$136,'Val-Dép'!B23:AA23,21,FALSE)),,VLOOKUP($E$136,'Val-Dép'!B23:AA23,21,FALSE))</f>
        <v>0</v>
      </c>
      <c r="F148" s="1774">
        <f>IF(ISNA(VLOOKUP($E$136,'Val-Dép'!AA23:AG23,6,FALSE)),,VLOOKUP($E$136,'Val-Dép'!AA23:AG23,6,FALSE))</f>
        <v>0</v>
      </c>
      <c r="G148" s="1739"/>
      <c r="H148" s="1770"/>
      <c r="I148" s="1743"/>
      <c r="J148" s="1743"/>
      <c r="K148" s="1772"/>
      <c r="L148" s="1739"/>
      <c r="M148" s="1776">
        <f>IF(ISNA(VLOOKUP($M$136,'Val-Dép'!B45:AM45,38,FALSE)),,VLOOKUP($M$136,'Val-Dép'!B45:AM45,38,FALSE))</f>
        <v>0</v>
      </c>
      <c r="N148" s="1775">
        <f>IF(ISNA(VLOOKUP($M$136,'Val-Dép'!B45:AM45,27,FALSE)),,VLOOKUP($M$136,'Val-Dép'!B45:AM45,27,FALSE))</f>
        <v>0</v>
      </c>
      <c r="O148" s="1739"/>
      <c r="P148" s="1740"/>
      <c r="Q148" s="1743"/>
      <c r="R148" s="1743"/>
      <c r="S148" s="1743"/>
      <c r="T148" s="1743"/>
      <c r="U148" s="1743"/>
      <c r="V148" s="1743"/>
    </row>
    <row r="149" spans="1:22" s="1744" customFormat="1" ht="9.9" customHeight="1" x14ac:dyDescent="0.25">
      <c r="A149" s="1743"/>
      <c r="B149" s="1743"/>
      <c r="C149" s="1739"/>
      <c r="D149" s="1780"/>
      <c r="E149" s="1781">
        <f>SUM(E137:E148)</f>
        <v>0</v>
      </c>
      <c r="F149" s="1782">
        <f>SUM(F138:F148)</f>
        <v>0</v>
      </c>
      <c r="G149" s="1780"/>
      <c r="H149" s="1770"/>
      <c r="I149" s="1743"/>
      <c r="J149" s="1743"/>
      <c r="K149" s="1772"/>
      <c r="L149" s="1739"/>
      <c r="M149" s="1781">
        <f>SUM(M138:M148)</f>
        <v>0</v>
      </c>
      <c r="N149" s="1781">
        <f>SUM(N138:N148)</f>
        <v>0</v>
      </c>
      <c r="O149" s="1780"/>
      <c r="P149" s="1846"/>
      <c r="Q149" s="1743"/>
      <c r="R149" s="1743"/>
      <c r="S149" s="1743"/>
      <c r="T149" s="1743"/>
      <c r="U149" s="1743"/>
      <c r="V149" s="1743"/>
    </row>
    <row r="150" spans="1:22" s="1744" customFormat="1" ht="9.9" customHeight="1" thickBot="1" x14ac:dyDescent="0.3">
      <c r="A150" s="1743"/>
      <c r="B150" s="1743"/>
      <c r="C150" s="1739"/>
      <c r="D150" s="1739"/>
      <c r="E150" s="1821">
        <f>E149-F149</f>
        <v>0</v>
      </c>
      <c r="F150" s="1842" t="s">
        <v>1928</v>
      </c>
      <c r="G150" s="1745"/>
      <c r="H150" s="1814"/>
      <c r="I150" s="1743"/>
      <c r="J150" s="1743"/>
      <c r="K150" s="1772"/>
      <c r="L150" s="1739"/>
      <c r="M150" s="1739"/>
      <c r="N150" s="1822">
        <f>(N149-M149)</f>
        <v>0</v>
      </c>
      <c r="O150" s="1740" t="s">
        <v>189</v>
      </c>
      <c r="P150" s="4150" t="s">
        <v>1921</v>
      </c>
      <c r="Q150" s="4150"/>
      <c r="R150" s="4151"/>
      <c r="S150" s="1743"/>
      <c r="T150" s="1743"/>
      <c r="U150" s="1743"/>
      <c r="V150" s="1743"/>
    </row>
    <row r="151" spans="1:22" s="1744" customFormat="1" ht="9.9" customHeight="1" x14ac:dyDescent="0.25">
      <c r="A151" s="1743"/>
      <c r="B151" s="1743"/>
      <c r="C151" s="1743"/>
      <c r="D151" s="1743"/>
      <c r="E151" s="1743"/>
      <c r="F151" s="1743"/>
      <c r="G151" s="1743"/>
      <c r="H151" s="1743"/>
      <c r="I151" s="1743"/>
      <c r="J151" s="1743"/>
      <c r="K151" s="1743"/>
      <c r="L151" s="1743"/>
      <c r="M151" s="1743"/>
      <c r="N151" s="1743"/>
      <c r="O151" s="1743"/>
      <c r="P151" s="1743"/>
      <c r="Q151" s="1743"/>
      <c r="R151" s="1743"/>
      <c r="S151" s="1743"/>
      <c r="T151" s="1743"/>
      <c r="U151" s="1743"/>
      <c r="V151" s="1743"/>
    </row>
    <row r="152" spans="1:22" s="1744" customFormat="1" ht="9.9" customHeight="1" x14ac:dyDescent="0.25">
      <c r="A152" s="1743"/>
      <c r="B152" s="1743"/>
      <c r="C152" s="1743"/>
      <c r="D152" s="1743"/>
      <c r="E152" s="1743"/>
      <c r="F152" s="1743"/>
      <c r="G152" s="1743"/>
      <c r="H152" s="1743"/>
      <c r="I152" s="1743"/>
      <c r="J152" s="1743"/>
      <c r="K152" s="1743"/>
      <c r="L152" s="1743"/>
      <c r="M152" s="1743"/>
      <c r="N152" s="1743"/>
      <c r="O152" s="1743"/>
      <c r="P152" s="1743"/>
      <c r="Q152" s="1743"/>
      <c r="R152" s="1743"/>
      <c r="S152" s="1743"/>
      <c r="T152" s="1743"/>
      <c r="U152" s="1743"/>
      <c r="V152" s="1743"/>
    </row>
    <row r="153" spans="1:22" s="1744" customFormat="1" ht="9.9" customHeight="1" thickBot="1" x14ac:dyDescent="0.3">
      <c r="A153" s="1743"/>
      <c r="B153" s="1743"/>
      <c r="C153" s="1772"/>
      <c r="D153" s="1836"/>
      <c r="E153" s="1746" t="s">
        <v>348</v>
      </c>
      <c r="F153" s="1837"/>
      <c r="G153" s="1838"/>
      <c r="H153" s="1772"/>
      <c r="I153" s="1739"/>
      <c r="J153" s="1739"/>
      <c r="K153" s="1772"/>
      <c r="L153" s="1839"/>
      <c r="M153" s="1746" t="s">
        <v>348</v>
      </c>
      <c r="N153" s="1840"/>
      <c r="O153" s="1841"/>
      <c r="P153" s="1771"/>
      <c r="Q153" s="1743"/>
      <c r="R153" s="1743"/>
      <c r="S153" s="1743"/>
      <c r="T153" s="1743"/>
      <c r="U153" s="1743"/>
      <c r="V153" s="1743"/>
    </row>
    <row r="154" spans="1:22" s="1744" customFormat="1" ht="9.9" customHeight="1" thickBot="1" x14ac:dyDescent="0.3">
      <c r="A154" s="1743"/>
      <c r="B154" s="1743"/>
      <c r="C154" s="1772"/>
      <c r="D154" s="1752" t="s">
        <v>192</v>
      </c>
      <c r="E154" s="1753" t="str">
        <f t="array" ref="E154">INDEX('Val-Dép'!B$1:B$25,MIN(IF(COUNTIF($E$11:$E$153,'Val-Dép'!B$13:B$25)=0,ROW($13:$25))))</f>
        <v>C0009</v>
      </c>
      <c r="F154" s="1754">
        <f>IFERROR(VLOOKUP($E$154,'Val-Dép'!$B$12:$D$26,2,FALSE),"")</f>
        <v>0</v>
      </c>
      <c r="G154" s="1752" t="s">
        <v>191</v>
      </c>
      <c r="H154" s="1764"/>
      <c r="I154" s="1739"/>
      <c r="J154" s="1739"/>
      <c r="K154" s="1772"/>
      <c r="L154" s="1752" t="s">
        <v>192</v>
      </c>
      <c r="M154" s="1753">
        <f t="array" ref="M154">INDEX('Val-Dép'!B$1:B$45,MIN(IF(COUNTIF($M$11:$M$153,'Val-Dép'!B$35:B$45)=0,ROW($35:$45))))</f>
        <v>0</v>
      </c>
      <c r="N154" s="1754" t="str">
        <f>IFERROR(VLOOKUP($M$154,'Val-Dép'!$B$43:$D$45,2,FALSE),"")</f>
        <v/>
      </c>
      <c r="O154" s="1752" t="s">
        <v>191</v>
      </c>
      <c r="P154" s="1740"/>
      <c r="Q154" s="1743"/>
      <c r="R154" s="1743"/>
      <c r="S154" s="1743"/>
      <c r="T154" s="1743"/>
      <c r="U154" s="1743"/>
      <c r="V154" s="1743"/>
    </row>
    <row r="155" spans="1:22" s="1744" customFormat="1" ht="9.9" customHeight="1" x14ac:dyDescent="0.25">
      <c r="A155" s="1743"/>
      <c r="B155" s="1743"/>
      <c r="C155" s="1739"/>
      <c r="D155" s="1797" t="s">
        <v>207</v>
      </c>
      <c r="E155" s="1761">
        <f>IFERROR(VLOOKUP($E$154,'Val-Dép'!$B$12:$D$26,3,FALSE),"")</f>
        <v>0</v>
      </c>
      <c r="F155" s="1798" t="s">
        <v>211</v>
      </c>
      <c r="G155" s="1801"/>
      <c r="H155" s="1770"/>
      <c r="I155" s="1739"/>
      <c r="J155" s="1739"/>
      <c r="K155" s="1772"/>
      <c r="L155" s="1801"/>
      <c r="M155" s="1802" t="s">
        <v>208</v>
      </c>
      <c r="N155" s="1761" t="str">
        <f>IFERROR(VLOOKUP($M$154,'Val-Dép'!$B$43:$D$45,3,FALSE),"")</f>
        <v/>
      </c>
      <c r="O155" s="1797" t="s">
        <v>207</v>
      </c>
      <c r="P155" s="1740"/>
      <c r="Q155" s="1743"/>
      <c r="R155" s="1743"/>
      <c r="S155" s="1743"/>
      <c r="T155" s="1743"/>
      <c r="U155" s="1743"/>
      <c r="V155" s="1743"/>
    </row>
    <row r="156" spans="1:22" s="1744" customFormat="1" ht="9.9" customHeight="1" x14ac:dyDescent="0.25">
      <c r="A156" s="1743"/>
      <c r="B156" s="1743"/>
      <c r="C156" s="1740">
        <v>13</v>
      </c>
      <c r="D156" s="1745"/>
      <c r="E156" s="1773">
        <f>IF(ISNA(VLOOKUP($E$154,'Val-Dép'!B13:AA13,21,FALSE)),,VLOOKUP($E$154,'Val-Dép'!B13:AA13,21,FALSE))</f>
        <v>0</v>
      </c>
      <c r="F156" s="1774">
        <f>IF(ISNA(VLOOKUP($E$154,'Val-Dép'!AA13:AG13,6,FALSE)),,VLOOKUP($E$154,'Val-Dép'!AA13:AG13,6,FALSE))</f>
        <v>0</v>
      </c>
      <c r="G156" s="1739"/>
      <c r="H156" s="1770"/>
      <c r="I156" s="1739"/>
      <c r="J156" s="1739"/>
      <c r="K156" s="1772"/>
      <c r="L156" s="1739"/>
      <c r="M156" s="1776">
        <f>IF(ISNA(VLOOKUP($M$154,'Val-Dép'!B35:AM35,38,FALSE)),,VLOOKUP($M$154,'Val-Dép'!B35:AM35,38,FALSE))</f>
        <v>0</v>
      </c>
      <c r="N156" s="1775">
        <f>IF(ISNA(VLOOKUP($M$154,'Val-Dép'!B35:AM35,27,FALSE)),,VLOOKUP($M$154,'Val-Dép'!B35:AM35,27,FALSE))</f>
        <v>0</v>
      </c>
      <c r="O156" s="1745"/>
      <c r="P156" s="1740">
        <v>35</v>
      </c>
      <c r="Q156" s="1743"/>
      <c r="R156" s="1743"/>
      <c r="S156" s="1743"/>
      <c r="T156" s="1743"/>
      <c r="U156" s="1743"/>
      <c r="V156" s="1743"/>
    </row>
    <row r="157" spans="1:22" s="1744" customFormat="1" ht="9.9" customHeight="1" x14ac:dyDescent="0.25">
      <c r="A157" s="1743"/>
      <c r="B157" s="1743"/>
      <c r="C157" s="1740">
        <v>14</v>
      </c>
      <c r="D157" s="1745"/>
      <c r="E157" s="1773">
        <f>IF(ISNA(VLOOKUP($E$154,'Val-Dép'!B14:AA14,21,FALSE)),,VLOOKUP($E$154,'Val-Dép'!B14:AA14,21,FALSE))</f>
        <v>0</v>
      </c>
      <c r="F157" s="1774">
        <f>IF(ISNA(VLOOKUP($E$154,'Val-Dép'!AA14:AG14,6,FALSE)),,VLOOKUP($E$154,'Val-Dép'!AA14:AG14,6,FALSE))</f>
        <v>0</v>
      </c>
      <c r="G157" s="1739"/>
      <c r="H157" s="1770"/>
      <c r="I157" s="1743"/>
      <c r="J157" s="1743"/>
      <c r="K157" s="1772"/>
      <c r="L157" s="1739"/>
      <c r="M157" s="1776">
        <f>IF(ISNA(VLOOKUP($M$154,'Val-Dép'!B36:AM36,38,FALSE)),,VLOOKUP($M$154,'Val-Dép'!B36:AM36,38,FALSE))</f>
        <v>0</v>
      </c>
      <c r="N157" s="1775">
        <f>IF(ISNA(VLOOKUP($M$154,'Val-Dép'!B36:AM36,27,FALSE)),,VLOOKUP($M$154,'Val-Dép'!B36:AM36,27,FALSE))</f>
        <v>0</v>
      </c>
      <c r="O157" s="1745"/>
      <c r="P157" s="1740">
        <v>36</v>
      </c>
      <c r="Q157" s="1743"/>
      <c r="R157" s="1743"/>
      <c r="S157" s="1743"/>
      <c r="T157" s="1743"/>
      <c r="U157" s="1743"/>
      <c r="V157" s="1743"/>
    </row>
    <row r="158" spans="1:22" s="1744" customFormat="1" ht="9.9" customHeight="1" x14ac:dyDescent="0.25">
      <c r="A158" s="1743"/>
      <c r="B158" s="1743"/>
      <c r="C158" s="1740">
        <v>15</v>
      </c>
      <c r="D158" s="1745"/>
      <c r="E158" s="1773">
        <f>IF(ISNA(VLOOKUP($E$154,'Val-Dép'!B15:AA15,21,FALSE)),,VLOOKUP($E$154,'Val-Dép'!B15:AA15,21,FALSE))</f>
        <v>0</v>
      </c>
      <c r="F158" s="1774">
        <f>IF(ISNA(VLOOKUP($E$154,'Val-Dép'!AA15:AG15,6,FALSE)),,VLOOKUP($E$154,'Val-Dép'!AA15:AG15,6,FALSE))</f>
        <v>0</v>
      </c>
      <c r="G158" s="1739"/>
      <c r="H158" s="1770"/>
      <c r="I158" s="1743"/>
      <c r="J158" s="1743"/>
      <c r="K158" s="1772"/>
      <c r="L158" s="1739"/>
      <c r="M158" s="1776">
        <f>IF(ISNA(VLOOKUP($M$154,'Val-Dép'!B37:AM37,38,FALSE)),,VLOOKUP($M$154,'Val-Dép'!B37:AM37,38,FALSE))</f>
        <v>0</v>
      </c>
      <c r="N158" s="1775">
        <f>IF(ISNA(VLOOKUP($M$154,'Val-Dép'!B37:AM37,27,FALSE)),,VLOOKUP($M$154,'Val-Dép'!B37:AM37,27,FALSE))</f>
        <v>0</v>
      </c>
      <c r="O158" s="1745"/>
      <c r="P158" s="1740">
        <v>37</v>
      </c>
      <c r="Q158" s="1743"/>
      <c r="R158" s="1743"/>
      <c r="S158" s="1743"/>
      <c r="T158" s="1743"/>
      <c r="U158" s="1743"/>
      <c r="V158" s="1743"/>
    </row>
    <row r="159" spans="1:22" s="1744" customFormat="1" ht="9.9" customHeight="1" x14ac:dyDescent="0.25">
      <c r="A159" s="1743"/>
      <c r="B159" s="1743"/>
      <c r="C159" s="1740">
        <v>16</v>
      </c>
      <c r="D159" s="1745"/>
      <c r="E159" s="1773">
        <f>IF(ISNA(VLOOKUP($E$154,'Val-Dép'!B16:AA16,21,FALSE)),,VLOOKUP($E$154,'Val-Dép'!B16:AA16,21,FALSE))</f>
        <v>0</v>
      </c>
      <c r="F159" s="1774">
        <f>IF(ISNA(VLOOKUP($E$154,'Val-Dép'!AA16:AG16,6,FALSE)),,VLOOKUP($E$154,'Val-Dép'!AA16:AG16,6,FALSE))</f>
        <v>0</v>
      </c>
      <c r="G159" s="1739"/>
      <c r="H159" s="1770"/>
      <c r="I159" s="1743"/>
      <c r="J159" s="1743"/>
      <c r="K159" s="1772"/>
      <c r="L159" s="1739"/>
      <c r="M159" s="1776">
        <f>IF(ISNA(VLOOKUP($M$154,'Val-Dép'!B38:AM38,38,FALSE)),,VLOOKUP($M$154,'Val-Dép'!B38:AM38,38,FALSE))</f>
        <v>0</v>
      </c>
      <c r="N159" s="1775">
        <f>IF(ISNA(VLOOKUP($M$154,'Val-Dép'!B38:AM38,27,FALSE)),,VLOOKUP($M$154,'Val-Dép'!B38:AM38,27,FALSE))</f>
        <v>0</v>
      </c>
      <c r="O159" s="1745"/>
      <c r="P159" s="1740">
        <v>38</v>
      </c>
      <c r="Q159" s="1743"/>
      <c r="R159" s="1743"/>
      <c r="S159" s="1743"/>
      <c r="T159" s="1743"/>
      <c r="U159" s="1743"/>
      <c r="V159" s="1743"/>
    </row>
    <row r="160" spans="1:22" s="1744" customFormat="1" ht="9.9" customHeight="1" x14ac:dyDescent="0.25">
      <c r="A160" s="1743"/>
      <c r="B160" s="1743"/>
      <c r="C160" s="1740">
        <v>17</v>
      </c>
      <c r="D160" s="1739"/>
      <c r="E160" s="1773">
        <f>IF(ISNA(VLOOKUP($E$154,'Val-Dép'!B17:AA17,21,FALSE)),,VLOOKUP($E$154,'Val-Dép'!B17:AA17,21,FALSE))</f>
        <v>0</v>
      </c>
      <c r="F160" s="1774">
        <f>IF(ISNA(VLOOKUP($E$154,'Val-Dép'!AA17:AG17,6,FALSE)),,VLOOKUP($E$154,'Val-Dép'!AA17:AG17,6,FALSE))</f>
        <v>0</v>
      </c>
      <c r="G160" s="1739"/>
      <c r="H160" s="1770"/>
      <c r="I160" s="1743"/>
      <c r="J160" s="1743"/>
      <c r="K160" s="1772"/>
      <c r="L160" s="1739"/>
      <c r="M160" s="1776">
        <f>IF(ISNA(VLOOKUP($M$154,'Val-Dép'!B39:AM39,38,FALSE)),,VLOOKUP($M$154,'Val-Dép'!B39:AM39,38,FALSE))</f>
        <v>0</v>
      </c>
      <c r="N160" s="1775">
        <f>IF(ISNA(VLOOKUP($M$154,'Val-Dép'!B39:AM39,27,FALSE)),,VLOOKUP($M$154,'Val-Dép'!B39:AM39,27,FALSE))</f>
        <v>0</v>
      </c>
      <c r="O160" s="1739"/>
      <c r="P160" s="1740">
        <v>39</v>
      </c>
      <c r="Q160" s="1743"/>
      <c r="R160" s="1743"/>
      <c r="S160" s="1743"/>
      <c r="T160" s="1743"/>
      <c r="U160" s="1743"/>
      <c r="V160" s="1743"/>
    </row>
    <row r="161" spans="1:22" s="1744" customFormat="1" ht="9.9" customHeight="1" x14ac:dyDescent="0.25">
      <c r="A161" s="1743"/>
      <c r="B161" s="1743"/>
      <c r="C161" s="1740">
        <v>18</v>
      </c>
      <c r="D161" s="1739"/>
      <c r="E161" s="1773">
        <f>IF(ISNA(VLOOKUP($E$154,'Val-Dép'!B18:AA18,21,FALSE)),,VLOOKUP($E$154,'Val-Dép'!B18:AA18,21,FALSE))</f>
        <v>0</v>
      </c>
      <c r="F161" s="1774">
        <f>IF(ISNA(VLOOKUP($E$154,'Val-Dép'!AA18:AG18,6,FALSE)),,VLOOKUP($E$154,'Val-Dép'!AA18:AG18,6,FALSE))</f>
        <v>0</v>
      </c>
      <c r="G161" s="1739"/>
      <c r="H161" s="1770"/>
      <c r="I161" s="1743"/>
      <c r="J161" s="1743"/>
      <c r="K161" s="1772"/>
      <c r="L161" s="1739"/>
      <c r="M161" s="1776">
        <f>IF(ISNA(VLOOKUP($M$154,'Val-Dép'!B40:AM40,38,FALSE)),,VLOOKUP($M$154,'Val-Dép'!B40:AM40,38,FALSE))</f>
        <v>0</v>
      </c>
      <c r="N161" s="1775">
        <f>IF(ISNA(VLOOKUP($M$154,'Val-Dép'!B40:AM40,27,FALSE)),,VLOOKUP($M$154,'Val-Dép'!B40:AM40,27,FALSE))</f>
        <v>0</v>
      </c>
      <c r="O161" s="1739"/>
      <c r="P161" s="1740">
        <v>40</v>
      </c>
      <c r="Q161" s="1743"/>
      <c r="R161" s="1743"/>
      <c r="S161" s="1743"/>
      <c r="T161" s="1743"/>
      <c r="U161" s="1743"/>
      <c r="V161" s="1743"/>
    </row>
    <row r="162" spans="1:22" s="1744" customFormat="1" ht="9.9" customHeight="1" x14ac:dyDescent="0.25">
      <c r="A162" s="1743"/>
      <c r="B162" s="1743"/>
      <c r="C162" s="1740">
        <v>19</v>
      </c>
      <c r="D162" s="1739"/>
      <c r="E162" s="1773">
        <f>IF(ISNA(VLOOKUP($E$154,'Val-Dép'!B19:AA19,21,FALSE)),,VLOOKUP($E$154,'Val-Dép'!B19:AA19,21,FALSE))</f>
        <v>0</v>
      </c>
      <c r="F162" s="1774">
        <f>IF(ISNA(VLOOKUP($E$154,'Val-Dép'!AA19:AG19,6,FALSE)),,VLOOKUP($E$154,'Val-Dép'!AA19:AG19,6,FALSE))</f>
        <v>0</v>
      </c>
      <c r="G162" s="1739"/>
      <c r="H162" s="1770"/>
      <c r="I162" s="1743"/>
      <c r="J162" s="1743"/>
      <c r="K162" s="1772"/>
      <c r="L162" s="1739"/>
      <c r="M162" s="1776">
        <f>IF(ISNA(VLOOKUP($M$154,'Val-Dép'!B41:AM41,38,FALSE)),,VLOOKUP($M$154,'Val-Dép'!B41:AM41,38,FALSE))</f>
        <v>0</v>
      </c>
      <c r="N162" s="1775">
        <f>IF(ISNA(VLOOKUP($M$154,'Val-Dép'!B41:AM41,27,FALSE)),,VLOOKUP($M$154,'Val-Dép'!B41:AM41,27,FALSE))</f>
        <v>0</v>
      </c>
      <c r="O162" s="1739"/>
      <c r="P162" s="1740">
        <v>41</v>
      </c>
      <c r="Q162" s="1743"/>
      <c r="R162" s="1743"/>
      <c r="S162" s="1743"/>
      <c r="T162" s="1743"/>
      <c r="U162" s="1743"/>
      <c r="V162" s="1743"/>
    </row>
    <row r="163" spans="1:22" s="1744" customFormat="1" ht="9.9" customHeight="1" x14ac:dyDescent="0.25">
      <c r="A163" s="1743"/>
      <c r="B163" s="1743"/>
      <c r="C163" s="1740">
        <v>20</v>
      </c>
      <c r="D163" s="1739"/>
      <c r="E163" s="1773">
        <f>IF(ISNA(VLOOKUP($E$154,'Val-Dép'!B20:AA20,21,FALSE)),,VLOOKUP($E$154,'Val-Dép'!B20:AA20,21,FALSE))</f>
        <v>0</v>
      </c>
      <c r="F163" s="1774">
        <f>IF(ISNA(VLOOKUP($E$154,'Val-Dép'!AA20:AG20,6,FALSE)),,VLOOKUP($E$154,'Val-Dép'!AA20:AG20,6,FALSE))</f>
        <v>0</v>
      </c>
      <c r="G163" s="1739"/>
      <c r="H163" s="1770"/>
      <c r="I163" s="1743"/>
      <c r="J163" s="1743"/>
      <c r="K163" s="1772"/>
      <c r="L163" s="1739"/>
      <c r="M163" s="1776">
        <f>IF(ISNA(VLOOKUP($M$154,'Val-Dép'!B42:AM42,38,FALSE)),,VLOOKUP($M$154,'Val-Dép'!B42:AM42,38,FALSE))</f>
        <v>0</v>
      </c>
      <c r="N163" s="1775">
        <f>IF(ISNA(VLOOKUP($M$154,'Val-Dép'!B42:AM42,27,FALSE)),,VLOOKUP($M$154,'Val-Dép'!B42:AM42,27,FALSE))</f>
        <v>0</v>
      </c>
      <c r="O163" s="1739"/>
      <c r="P163" s="1740">
        <v>42</v>
      </c>
      <c r="Q163" s="1743"/>
      <c r="R163" s="1743"/>
      <c r="S163" s="1743"/>
      <c r="T163" s="1743"/>
      <c r="U163" s="1743"/>
      <c r="V163" s="1743"/>
    </row>
    <row r="164" spans="1:22" s="1744" customFormat="1" ht="9.9" customHeight="1" x14ac:dyDescent="0.25">
      <c r="A164" s="1743"/>
      <c r="B164" s="1743"/>
      <c r="C164" s="1740">
        <v>21</v>
      </c>
      <c r="D164" s="1739"/>
      <c r="E164" s="1773">
        <f>IF(ISNA(VLOOKUP($E$154,'Val-Dép'!B21:AA21,21,FALSE)),,VLOOKUP($E$154,'Val-Dép'!B21:AA21,21,FALSE))</f>
        <v>0</v>
      </c>
      <c r="F164" s="1774">
        <f>IF(ISNA(VLOOKUP($E$154,'Val-Dép'!AA21:AG21,6,FALSE)),,VLOOKUP($E$154,'Val-Dép'!AA21:AG21,6,FALSE))</f>
        <v>0</v>
      </c>
      <c r="G164" s="1739"/>
      <c r="H164" s="1770"/>
      <c r="I164" s="1743"/>
      <c r="J164" s="1743"/>
      <c r="K164" s="1772"/>
      <c r="L164" s="1739"/>
      <c r="M164" s="1776">
        <f>IF(ISNA(VLOOKUP($M$154,'Val-Dép'!B43:AM43,38,FALSE)),,VLOOKUP($M$154,'Val-Dép'!B43:AM43,38,FALSE))</f>
        <v>0</v>
      </c>
      <c r="N164" s="1775">
        <f>IF(ISNA(VLOOKUP($M$154,'Val-Dép'!B43:AM43,27,FALSE)),,VLOOKUP($M$154,'Val-Dép'!B43:AM43,27,FALSE))</f>
        <v>0</v>
      </c>
      <c r="O164" s="1739"/>
      <c r="P164" s="1740">
        <v>43</v>
      </c>
      <c r="Q164" s="1743"/>
      <c r="R164" s="1743"/>
      <c r="S164" s="1743"/>
      <c r="T164" s="1743"/>
      <c r="U164" s="1743"/>
      <c r="V164" s="1743"/>
    </row>
    <row r="165" spans="1:22" s="1744" customFormat="1" ht="9.9" customHeight="1" x14ac:dyDescent="0.25">
      <c r="A165" s="1743"/>
      <c r="B165" s="1743"/>
      <c r="C165" s="1740">
        <v>22</v>
      </c>
      <c r="D165" s="1739"/>
      <c r="E165" s="1773">
        <f>IF(ISNA(VLOOKUP($E$154,'Val-Dép'!B22:AA22,21,FALSE)),,VLOOKUP($E$154,'Val-Dép'!B22:AA22,21,FALSE))</f>
        <v>0</v>
      </c>
      <c r="F165" s="1774">
        <f>IF(ISNA(VLOOKUP($E$154,'Val-Dép'!AA22:AG22,6,FALSE)),,VLOOKUP($E$154,'Val-Dép'!AA22:AG22,6,FALSE))</f>
        <v>0</v>
      </c>
      <c r="G165" s="1739"/>
      <c r="H165" s="1770"/>
      <c r="I165" s="1743"/>
      <c r="J165" s="1743"/>
      <c r="K165" s="1772"/>
      <c r="L165" s="1739"/>
      <c r="M165" s="1776">
        <f>IF(ISNA(VLOOKUP($M$154,'Val-Dép'!B44:AM44,38,FALSE)),,VLOOKUP($M$154,'Val-Dép'!B44:AM44,38,FALSE))</f>
        <v>0</v>
      </c>
      <c r="N165" s="1775">
        <f>IF(ISNA(VLOOKUP($M$154,'Val-Dép'!B44:AM44,27,FALSE)),,VLOOKUP($M$154,'Val-Dép'!B44:AM44,27,FALSE))</f>
        <v>0</v>
      </c>
      <c r="O165" s="1739"/>
      <c r="P165" s="1740">
        <v>44</v>
      </c>
      <c r="Q165" s="1743"/>
      <c r="R165" s="1743"/>
      <c r="S165" s="1743"/>
      <c r="T165" s="1743"/>
      <c r="U165" s="1743"/>
      <c r="V165" s="1743"/>
    </row>
    <row r="166" spans="1:22" s="1744" customFormat="1" ht="9.9" customHeight="1" thickBot="1" x14ac:dyDescent="0.3">
      <c r="A166" s="1743"/>
      <c r="B166" s="1743"/>
      <c r="C166" s="1740">
        <v>23</v>
      </c>
      <c r="D166" s="1739"/>
      <c r="E166" s="1773">
        <f>IF(ISNA(VLOOKUP($E$154,'Val-Dép'!B23:AA23,21,FALSE)),,VLOOKUP($E$154,'Val-Dép'!B23:AA23,21,FALSE))</f>
        <v>0</v>
      </c>
      <c r="F166" s="1774">
        <f>IF(ISNA(VLOOKUP($E$154,'Val-Dép'!AA23:AG23,6,FALSE)),,VLOOKUP($E$154,'Val-Dép'!AA23:AG23,6,FALSE))</f>
        <v>0</v>
      </c>
      <c r="G166" s="1739"/>
      <c r="H166" s="1770"/>
      <c r="I166" s="1743"/>
      <c r="J166" s="1743"/>
      <c r="K166" s="1772"/>
      <c r="L166" s="1739"/>
      <c r="M166" s="1776">
        <f>IF(ISNA(VLOOKUP($M$154,'Val-Dép'!B45:AM45,38,FALSE)),,VLOOKUP($M$154,'Val-Dép'!B45:AM45,38,FALSE))</f>
        <v>0</v>
      </c>
      <c r="N166" s="1775">
        <f>IF(ISNA(VLOOKUP($M$154,'Val-Dép'!B45:AM45,27,FALSE)),,VLOOKUP($M$154,'Val-Dép'!B45:AM45,27,FALSE))</f>
        <v>0</v>
      </c>
      <c r="O166" s="1739"/>
      <c r="P166" s="1740"/>
      <c r="Q166" s="1743"/>
      <c r="R166" s="1743"/>
      <c r="S166" s="1743"/>
      <c r="T166" s="1743"/>
      <c r="U166" s="1743"/>
      <c r="V166" s="1743"/>
    </row>
    <row r="167" spans="1:22" s="1744" customFormat="1" ht="9.9" customHeight="1" x14ac:dyDescent="0.25">
      <c r="A167" s="1743"/>
      <c r="B167" s="1743"/>
      <c r="C167" s="1739"/>
      <c r="D167" s="1780"/>
      <c r="E167" s="1781">
        <f>SUM(E155:E166)</f>
        <v>0</v>
      </c>
      <c r="F167" s="1782">
        <f>SUM(F156:F166)</f>
        <v>0</v>
      </c>
      <c r="G167" s="1780"/>
      <c r="H167" s="1770"/>
      <c r="I167" s="1743"/>
      <c r="J167" s="1743"/>
      <c r="K167" s="1772"/>
      <c r="L167" s="1739"/>
      <c r="M167" s="1781">
        <f>SUM(M156:M166)</f>
        <v>0</v>
      </c>
      <c r="N167" s="1781">
        <f>SUM(N156:N166)</f>
        <v>0</v>
      </c>
      <c r="O167" s="1780"/>
      <c r="P167" s="1846"/>
      <c r="Q167" s="1743"/>
      <c r="R167" s="1743"/>
      <c r="S167" s="1743"/>
      <c r="T167" s="1743"/>
      <c r="U167" s="1743"/>
      <c r="V167" s="1743"/>
    </row>
    <row r="168" spans="1:22" s="1744" customFormat="1" ht="9.9" customHeight="1" thickBot="1" x14ac:dyDescent="0.3">
      <c r="A168" s="1743"/>
      <c r="B168" s="1743"/>
      <c r="C168" s="1739"/>
      <c r="D168" s="1739"/>
      <c r="E168" s="1821">
        <f>E167-F167</f>
        <v>0</v>
      </c>
      <c r="F168" s="1842" t="s">
        <v>1927</v>
      </c>
      <c r="G168" s="1745"/>
      <c r="H168" s="1814"/>
      <c r="I168" s="1743"/>
      <c r="J168" s="1743"/>
      <c r="K168" s="1772"/>
      <c r="L168" s="1739"/>
      <c r="M168" s="1739"/>
      <c r="N168" s="1822">
        <f>(N167-M167)</f>
        <v>0</v>
      </c>
      <c r="O168" s="1740" t="s">
        <v>189</v>
      </c>
      <c r="P168" s="4150" t="s">
        <v>1922</v>
      </c>
      <c r="Q168" s="4152"/>
      <c r="R168" s="4153"/>
      <c r="S168" s="1743"/>
      <c r="T168" s="1743"/>
      <c r="U168" s="1743"/>
      <c r="V168" s="1743"/>
    </row>
    <row r="169" spans="1:22" s="1744" customFormat="1" ht="9.9" customHeight="1" x14ac:dyDescent="0.25">
      <c r="A169" s="1743"/>
      <c r="B169" s="1743"/>
      <c r="C169" s="1743"/>
      <c r="D169" s="1743"/>
      <c r="E169" s="1743"/>
      <c r="F169" s="1743"/>
      <c r="G169" s="1743"/>
      <c r="H169" s="1743"/>
      <c r="I169" s="1743"/>
      <c r="J169" s="1743"/>
      <c r="K169" s="1743"/>
      <c r="L169" s="1743"/>
      <c r="M169" s="1743"/>
      <c r="N169" s="1743"/>
      <c r="O169" s="1743"/>
      <c r="P169" s="1743"/>
      <c r="Q169" s="1743"/>
      <c r="R169" s="1743"/>
      <c r="S169" s="1743"/>
      <c r="T169" s="1743"/>
      <c r="U169" s="1743"/>
      <c r="V169" s="1743"/>
    </row>
    <row r="170" spans="1:22" s="1744" customFormat="1" ht="9.9" customHeight="1" thickBot="1" x14ac:dyDescent="0.3">
      <c r="A170" s="1743"/>
      <c r="B170" s="1743"/>
      <c r="C170" s="1772"/>
      <c r="D170" s="1836"/>
      <c r="E170" s="1746" t="s">
        <v>348</v>
      </c>
      <c r="F170" s="1837"/>
      <c r="G170" s="1838"/>
      <c r="H170" s="1772"/>
      <c r="I170" s="1739"/>
      <c r="J170" s="1739"/>
      <c r="K170" s="1772"/>
      <c r="L170" s="1839"/>
      <c r="M170" s="1746" t="s">
        <v>348</v>
      </c>
      <c r="N170" s="1840"/>
      <c r="O170" s="1841"/>
      <c r="P170" s="1771"/>
      <c r="Q170" s="1743"/>
      <c r="R170" s="1743"/>
      <c r="S170" s="1743"/>
      <c r="T170" s="1743"/>
      <c r="U170" s="1743"/>
      <c r="V170" s="1743"/>
    </row>
    <row r="171" spans="1:22" s="1744" customFormat="1" ht="9.9" customHeight="1" thickBot="1" x14ac:dyDescent="0.3">
      <c r="A171" s="1743"/>
      <c r="B171" s="1743"/>
      <c r="C171" s="1772"/>
      <c r="D171" s="1752" t="s">
        <v>192</v>
      </c>
      <c r="E171" s="1753" t="str">
        <f t="array" ref="E171">INDEX('Val-Dép'!B$1:B$25,MIN(IF(COUNTIF(E$11:$E$170,'Val-Dép'!B$13:B$25)=0,ROW($13:$25))))</f>
        <v>C00010</v>
      </c>
      <c r="F171" s="1754">
        <f>IFERROR(VLOOKUP($E$171,'Val-Dép'!$B$12:$D$26,2,FALSE),"")</f>
        <v>0</v>
      </c>
      <c r="G171" s="1752" t="s">
        <v>191</v>
      </c>
      <c r="H171" s="1764"/>
      <c r="I171" s="1739"/>
      <c r="J171" s="1739"/>
      <c r="K171" s="1772"/>
      <c r="L171" s="1752" t="s">
        <v>192</v>
      </c>
      <c r="M171" s="1753">
        <f t="array" ref="M171">INDEX('Val-Dép'!B$1:B$45,MIN(IF(COUNTIF($M$11:$M$170,'Val-Dép'!B$35:B$45)=0,ROW($35:$45))))</f>
        <v>0</v>
      </c>
      <c r="N171" s="1754" t="str">
        <f>IFERROR(VLOOKUP($M$171,'Val-Dép'!$B$44:$D$45,2,FALSE),"")</f>
        <v/>
      </c>
      <c r="O171" s="1752" t="s">
        <v>191</v>
      </c>
      <c r="P171" s="1740"/>
      <c r="Q171" s="1743"/>
      <c r="R171" s="1743"/>
      <c r="S171" s="1743"/>
      <c r="T171" s="1743"/>
      <c r="U171" s="1743"/>
      <c r="V171" s="1743"/>
    </row>
    <row r="172" spans="1:22" s="1744" customFormat="1" ht="9.9" customHeight="1" x14ac:dyDescent="0.25">
      <c r="A172" s="1743"/>
      <c r="B172" s="1743"/>
      <c r="C172" s="1739"/>
      <c r="D172" s="1797" t="s">
        <v>207</v>
      </c>
      <c r="E172" s="1761">
        <f>IFERROR(VLOOKUP($E$171,'Val-Dép'!$B$12:$D$26,3,FALSE),"")</f>
        <v>0</v>
      </c>
      <c r="F172" s="1798" t="s">
        <v>211</v>
      </c>
      <c r="G172" s="1801"/>
      <c r="H172" s="1770"/>
      <c r="I172" s="1739"/>
      <c r="J172" s="1739"/>
      <c r="K172" s="1772"/>
      <c r="L172" s="1801"/>
      <c r="M172" s="1802" t="s">
        <v>208</v>
      </c>
      <c r="N172" s="1761" t="str">
        <f>IFERROR(VLOOKUP($M$171,'Val-Dép'!$B$44:$D$45,3,FALSE),"")</f>
        <v/>
      </c>
      <c r="O172" s="1797" t="s">
        <v>207</v>
      </c>
      <c r="P172" s="1740"/>
      <c r="Q172" s="1743"/>
      <c r="R172" s="1743"/>
      <c r="S172" s="1743"/>
      <c r="T172" s="1743"/>
      <c r="U172" s="1743"/>
      <c r="V172" s="1743"/>
    </row>
    <row r="173" spans="1:22" s="1744" customFormat="1" ht="9.9" customHeight="1" x14ac:dyDescent="0.25">
      <c r="A173" s="1743"/>
      <c r="B173" s="1743"/>
      <c r="C173" s="1740">
        <v>13</v>
      </c>
      <c r="D173" s="1745"/>
      <c r="E173" s="1773">
        <f>IF(ISNA(VLOOKUP($E$171,'Val-Dép'!B13:AA13,21,FALSE)),,VLOOKUP($E$171,'Val-Dép'!B13:AA13,21,FALSE))</f>
        <v>0</v>
      </c>
      <c r="F173" s="1774">
        <f>IF(ISNA(VLOOKUP($E$171,'[2]Val-Dép'!Z13:AF13,6,FALSE)),,VLOOKUP($E$171,'[2]Val-Dép'!Z13:AF13,6,FALSE))</f>
        <v>0</v>
      </c>
      <c r="G173" s="1739"/>
      <c r="H173" s="1770"/>
      <c r="I173" s="1739"/>
      <c r="J173" s="1739"/>
      <c r="K173" s="1772"/>
      <c r="L173" s="1739"/>
      <c r="M173" s="1776">
        <f>IF(ISNA(VLOOKUP($M$171,'Val-Dép'!B35:AM35,38,FALSE)),,VLOOKUP($M$171,'Val-Dép'!B35:AM35,38,FALSE))</f>
        <v>0</v>
      </c>
      <c r="N173" s="1775">
        <f>IF(ISNA(VLOOKUP($M$171,'Val-Dép'!B35:AM35,27,FALSE)),,VLOOKUP($M$171,'Val-Dép'!B35:AM35,27,FALSE))</f>
        <v>0</v>
      </c>
      <c r="O173" s="1745"/>
      <c r="P173" s="1740">
        <v>35</v>
      </c>
      <c r="Q173" s="1743"/>
      <c r="R173" s="1743"/>
      <c r="S173" s="1743"/>
      <c r="T173" s="1743"/>
      <c r="U173" s="1743"/>
      <c r="V173" s="1743"/>
    </row>
    <row r="174" spans="1:22" s="1744" customFormat="1" ht="9.9" customHeight="1" x14ac:dyDescent="0.25">
      <c r="A174" s="1743"/>
      <c r="B174" s="1743"/>
      <c r="C174" s="1740">
        <v>14</v>
      </c>
      <c r="D174" s="1745"/>
      <c r="E174" s="1773">
        <f>IF(ISNA(VLOOKUP($E$171,'Val-Dép'!B14:AA14,21,FALSE)),,VLOOKUP($E$171,'Val-Dép'!B14:AA14,21,FALSE))</f>
        <v>0</v>
      </c>
      <c r="F174" s="1774">
        <f>IF(ISNA(VLOOKUP($E$171,'[2]Val-Dép'!Z14:AF14,6,FALSE)),,VLOOKUP($E$171,'[2]Val-Dép'!Z14:AF14,6,FALSE))</f>
        <v>0</v>
      </c>
      <c r="G174" s="1739"/>
      <c r="H174" s="1770"/>
      <c r="I174" s="1743"/>
      <c r="J174" s="1743"/>
      <c r="K174" s="1772"/>
      <c r="L174" s="1739"/>
      <c r="M174" s="1776">
        <f>IF(ISNA(VLOOKUP($M$171,'Val-Dép'!B36:AM36,38,FALSE)),,VLOOKUP($M$171,'Val-Dép'!B36:AM36,38,FALSE))</f>
        <v>0</v>
      </c>
      <c r="N174" s="1775">
        <f>IF(ISNA(VLOOKUP($M$171,'Val-Dép'!B36:AM36,27,FALSE)),,VLOOKUP($M$171,'Val-Dép'!B36:AM36,27,FALSE))</f>
        <v>0</v>
      </c>
      <c r="O174" s="1745"/>
      <c r="P174" s="1740">
        <v>36</v>
      </c>
      <c r="Q174" s="1743"/>
      <c r="R174" s="1743"/>
      <c r="S174" s="1743"/>
      <c r="T174" s="1743"/>
      <c r="U174" s="1743"/>
      <c r="V174" s="1743"/>
    </row>
    <row r="175" spans="1:22" s="1744" customFormat="1" ht="9.9" customHeight="1" x14ac:dyDescent="0.25">
      <c r="A175" s="1743"/>
      <c r="B175" s="1743"/>
      <c r="C175" s="1740">
        <v>15</v>
      </c>
      <c r="D175" s="1745"/>
      <c r="E175" s="1773">
        <f>IF(ISNA(VLOOKUP($E$171,'Val-Dép'!B15:AA15,21,FALSE)),,VLOOKUP($E$171,'Val-Dép'!B15:AA15,21,FALSE))</f>
        <v>0</v>
      </c>
      <c r="F175" s="1774">
        <f>IF(ISNA(VLOOKUP($E$171,'[2]Val-Dép'!Z15:AF15,6,FALSE)),,VLOOKUP($E$171,'[2]Val-Dép'!Z15:AF15,6,FALSE))</f>
        <v>0</v>
      </c>
      <c r="G175" s="1739"/>
      <c r="H175" s="1770"/>
      <c r="I175" s="1743"/>
      <c r="J175" s="1743"/>
      <c r="K175" s="1772"/>
      <c r="L175" s="1739"/>
      <c r="M175" s="1776">
        <f>IF(ISNA(VLOOKUP($M$171,'Val-Dép'!B37:AM37,38,FALSE)),,VLOOKUP($M$171,'Val-Dép'!B37:AM37,38,FALSE))</f>
        <v>0</v>
      </c>
      <c r="N175" s="1775">
        <f>IF(ISNA(VLOOKUP($M$171,'Val-Dép'!B37:AM37,27,FALSE)),,VLOOKUP($M$171,'Val-Dép'!B37:AM37,27,FALSE))</f>
        <v>0</v>
      </c>
      <c r="O175" s="1745"/>
      <c r="P175" s="1740">
        <v>37</v>
      </c>
      <c r="Q175" s="1743"/>
      <c r="R175" s="1743"/>
      <c r="S175" s="1743"/>
      <c r="T175" s="1743"/>
      <c r="U175" s="1743"/>
      <c r="V175" s="1743"/>
    </row>
    <row r="176" spans="1:22" s="1744" customFormat="1" ht="9.9" customHeight="1" x14ac:dyDescent="0.25">
      <c r="A176" s="1743"/>
      <c r="B176" s="1743"/>
      <c r="C176" s="1740">
        <v>16</v>
      </c>
      <c r="D176" s="1745"/>
      <c r="E176" s="1773">
        <f>IF(ISNA(VLOOKUP($E$171,'Val-Dép'!B16:AA16,21,FALSE)),,VLOOKUP($E$171,'Val-Dép'!B16:AA16,21,FALSE))</f>
        <v>0</v>
      </c>
      <c r="F176" s="1774">
        <f>IF(ISNA(VLOOKUP($E$171,'[2]Val-Dép'!Z16:AF16,6,FALSE)),,VLOOKUP($E$171,'[2]Val-Dép'!Z16:AF16,6,FALSE))</f>
        <v>0</v>
      </c>
      <c r="G176" s="1739"/>
      <c r="H176" s="1770"/>
      <c r="I176" s="1743"/>
      <c r="J176" s="1743"/>
      <c r="K176" s="1772"/>
      <c r="L176" s="1739"/>
      <c r="M176" s="1776">
        <f>IF(ISNA(VLOOKUP($M$171,'Val-Dép'!B38:AM38,38,FALSE)),,VLOOKUP($M$171,'Val-Dép'!B38:AM38,38,FALSE))</f>
        <v>0</v>
      </c>
      <c r="N176" s="1775">
        <f>IF(ISNA(VLOOKUP($M$171,'Val-Dép'!B38:AM38,27,FALSE)),,VLOOKUP($M$171,'Val-Dép'!B38:AM38,27,FALSE))</f>
        <v>0</v>
      </c>
      <c r="O176" s="1745"/>
      <c r="P176" s="1740">
        <v>38</v>
      </c>
      <c r="Q176" s="1743"/>
      <c r="R176" s="1743"/>
      <c r="S176" s="1743"/>
      <c r="T176" s="1743"/>
      <c r="U176" s="1743"/>
      <c r="V176" s="1743"/>
    </row>
    <row r="177" spans="1:22" s="1744" customFormat="1" ht="9.9" customHeight="1" x14ac:dyDescent="0.25">
      <c r="A177" s="1743"/>
      <c r="B177" s="1743"/>
      <c r="C177" s="1740">
        <v>17</v>
      </c>
      <c r="D177" s="1739"/>
      <c r="E177" s="1773">
        <f>IF(ISNA(VLOOKUP($E$171,'Val-Dép'!B17:AA17,21,FALSE)),,VLOOKUP($E$171,'Val-Dép'!B17:AA17,21,FALSE))</f>
        <v>0</v>
      </c>
      <c r="F177" s="1774">
        <f>IF(ISNA(VLOOKUP($E$171,'[2]Val-Dép'!Z17:AF17,6,FALSE)),,VLOOKUP($E$171,'[2]Val-Dép'!Z17:AF17,6,FALSE))</f>
        <v>0</v>
      </c>
      <c r="G177" s="1739"/>
      <c r="H177" s="1770"/>
      <c r="I177" s="1743"/>
      <c r="J177" s="1743"/>
      <c r="K177" s="1772"/>
      <c r="L177" s="1739"/>
      <c r="M177" s="1776">
        <f>IF(ISNA(VLOOKUP($M$171,'Val-Dép'!B39:AM39,38,FALSE)),,VLOOKUP($M$171,'Val-Dép'!B39:AM39,38,FALSE))</f>
        <v>0</v>
      </c>
      <c r="N177" s="1775">
        <f>IF(ISNA(VLOOKUP($M$171,'Val-Dép'!B39:AM39,27,FALSE)),,VLOOKUP($M$171,'Val-Dép'!B39:AM39,27,FALSE))</f>
        <v>0</v>
      </c>
      <c r="O177" s="1739"/>
      <c r="P177" s="1740">
        <v>39</v>
      </c>
      <c r="Q177" s="1743"/>
      <c r="R177" s="1743"/>
      <c r="S177" s="1743"/>
      <c r="T177" s="1743"/>
      <c r="U177" s="1743"/>
      <c r="V177" s="1743"/>
    </row>
    <row r="178" spans="1:22" s="1744" customFormat="1" ht="9.9" customHeight="1" x14ac:dyDescent="0.25">
      <c r="A178" s="1743"/>
      <c r="B178" s="1743"/>
      <c r="C178" s="1740">
        <v>18</v>
      </c>
      <c r="D178" s="1739"/>
      <c r="E178" s="1773">
        <f>IF(ISNA(VLOOKUP($E$171,'Val-Dép'!B18:AA18,21,FALSE)),,VLOOKUP($E$171,'Val-Dép'!B18:AA18,21,FALSE))</f>
        <v>0</v>
      </c>
      <c r="F178" s="1774">
        <f>IF(ISNA(VLOOKUP($E$171,'[2]Val-Dép'!Z18:AF18,6,FALSE)),,VLOOKUP($E$171,'[2]Val-Dép'!Z18:AF18,6,FALSE))</f>
        <v>0</v>
      </c>
      <c r="G178" s="1739"/>
      <c r="H178" s="1770"/>
      <c r="I178" s="1743"/>
      <c r="J178" s="1743"/>
      <c r="K178" s="1772"/>
      <c r="L178" s="1739"/>
      <c r="M178" s="1776">
        <f>IF(ISNA(VLOOKUP($M$171,'Val-Dép'!B40:AM40,38,FALSE)),,VLOOKUP($M$171,'Val-Dép'!B40:AM40,38,FALSE))</f>
        <v>0</v>
      </c>
      <c r="N178" s="1775">
        <f>IF(ISNA(VLOOKUP($M$171,'Val-Dép'!B40:AM40,27,FALSE)),,VLOOKUP($M$171,'Val-Dép'!B40:AM40,27,FALSE))</f>
        <v>0</v>
      </c>
      <c r="O178" s="1739"/>
      <c r="P178" s="1740">
        <v>40</v>
      </c>
      <c r="Q178" s="1743"/>
      <c r="R178" s="1743"/>
      <c r="S178" s="1743"/>
      <c r="T178" s="1743"/>
      <c r="U178" s="1743"/>
      <c r="V178" s="1743"/>
    </row>
    <row r="179" spans="1:22" s="1744" customFormat="1" ht="9.9" customHeight="1" x14ac:dyDescent="0.25">
      <c r="A179" s="1743"/>
      <c r="B179" s="1743"/>
      <c r="C179" s="1740">
        <v>19</v>
      </c>
      <c r="D179" s="1739"/>
      <c r="E179" s="1773">
        <f>IF(ISNA(VLOOKUP($E$171,'Val-Dép'!B19:AA19,21,FALSE)),,VLOOKUP($E$171,'Val-Dép'!B19:AA19,21,FALSE))</f>
        <v>0</v>
      </c>
      <c r="F179" s="1774">
        <f>IF(ISNA(VLOOKUP($E$171,'[2]Val-Dép'!Z19:AF19,6,FALSE)),,VLOOKUP($E$171,'[2]Val-Dép'!Z19:AF19,6,FALSE))</f>
        <v>0</v>
      </c>
      <c r="G179" s="1739"/>
      <c r="H179" s="1770"/>
      <c r="I179" s="1743"/>
      <c r="J179" s="1743"/>
      <c r="K179" s="1772"/>
      <c r="L179" s="1739"/>
      <c r="M179" s="1776">
        <f>IF(ISNA(VLOOKUP($M$171,'Val-Dép'!B41:AM41,38,FALSE)),,VLOOKUP($M$171,'Val-Dép'!B41:AM41,38,FALSE))</f>
        <v>0</v>
      </c>
      <c r="N179" s="1775">
        <f>IF(ISNA(VLOOKUP($M$171,'Val-Dép'!B41:AM41,27,FALSE)),,VLOOKUP($M$171,'Val-Dép'!B41:AM41,27,FALSE))</f>
        <v>0</v>
      </c>
      <c r="O179" s="1739"/>
      <c r="P179" s="1740">
        <v>41</v>
      </c>
      <c r="Q179" s="1743"/>
      <c r="R179" s="1743"/>
      <c r="S179" s="1743"/>
      <c r="T179" s="1743"/>
      <c r="U179" s="1743"/>
      <c r="V179" s="1743"/>
    </row>
    <row r="180" spans="1:22" s="1744" customFormat="1" ht="9.9" customHeight="1" x14ac:dyDescent="0.25">
      <c r="A180" s="1743"/>
      <c r="B180" s="1743"/>
      <c r="C180" s="1740">
        <v>20</v>
      </c>
      <c r="D180" s="1739"/>
      <c r="E180" s="1773">
        <f>IF(ISNA(VLOOKUP($E$171,'Val-Dép'!B20:AA20,21,FALSE)),,VLOOKUP($E$171,'Val-Dép'!B20:AA20,21,FALSE))</f>
        <v>0</v>
      </c>
      <c r="F180" s="1774">
        <f>IF(ISNA(VLOOKUP($E$171,'[2]Val-Dép'!Z20:AF20,6,FALSE)),,VLOOKUP($E$171,'[2]Val-Dép'!Z20:AF20,6,FALSE))</f>
        <v>0</v>
      </c>
      <c r="G180" s="1739"/>
      <c r="H180" s="1770"/>
      <c r="I180" s="1743"/>
      <c r="J180" s="1743"/>
      <c r="K180" s="1772"/>
      <c r="L180" s="1739"/>
      <c r="M180" s="1776">
        <f>IF(ISNA(VLOOKUP($M$171,'Val-Dép'!B42:AM42,38,FALSE)),,VLOOKUP($M$171,'Val-Dép'!B42:AM42,38,FALSE))</f>
        <v>0</v>
      </c>
      <c r="N180" s="1775">
        <f>IF(ISNA(VLOOKUP($M$171,'Val-Dép'!B42:AM42,27,FALSE)),,VLOOKUP($M$171,'Val-Dép'!B42:AM42,27,FALSE))</f>
        <v>0</v>
      </c>
      <c r="O180" s="1739"/>
      <c r="P180" s="1740">
        <v>42</v>
      </c>
      <c r="Q180" s="1743"/>
      <c r="R180" s="1743"/>
      <c r="S180" s="1743"/>
      <c r="T180" s="1743"/>
      <c r="U180" s="1743"/>
      <c r="V180" s="1743"/>
    </row>
    <row r="181" spans="1:22" s="1744" customFormat="1" ht="9.9" customHeight="1" x14ac:dyDescent="0.25">
      <c r="A181" s="1743"/>
      <c r="B181" s="1743"/>
      <c r="C181" s="1740">
        <v>21</v>
      </c>
      <c r="D181" s="1739"/>
      <c r="E181" s="1773">
        <f>IF(ISNA(VLOOKUP($E$171,'Val-Dép'!B21:AA21,21,FALSE)),,VLOOKUP($E$171,'Val-Dép'!B21:AA21,21,FALSE))</f>
        <v>0</v>
      </c>
      <c r="F181" s="1774">
        <f>IF(ISNA(VLOOKUP($E$171,'[2]Val-Dép'!Z21:AF21,6,FALSE)),,VLOOKUP($E$171,'[2]Val-Dép'!Z21:AF21,6,FALSE))</f>
        <v>0</v>
      </c>
      <c r="G181" s="1739"/>
      <c r="H181" s="1770"/>
      <c r="I181" s="1743"/>
      <c r="J181" s="1743"/>
      <c r="K181" s="1772"/>
      <c r="L181" s="1739"/>
      <c r="M181" s="1776">
        <f>IF(ISNA(VLOOKUP($M$171,'Val-Dép'!B43:AM43,38,FALSE)),,VLOOKUP($M$171,'Val-Dép'!B43:AM43,38,FALSE))</f>
        <v>0</v>
      </c>
      <c r="N181" s="1775">
        <f>IF(ISNA(VLOOKUP($M$171,'Val-Dép'!B43:AM43,27,FALSE)),,VLOOKUP($M$171,'Val-Dép'!B43:AM43,27,FALSE))</f>
        <v>0</v>
      </c>
      <c r="O181" s="1739"/>
      <c r="P181" s="1740">
        <v>43</v>
      </c>
      <c r="Q181" s="1743"/>
      <c r="R181" s="1743"/>
      <c r="S181" s="1743"/>
      <c r="T181" s="1743"/>
      <c r="U181" s="1743"/>
      <c r="V181" s="1743"/>
    </row>
    <row r="182" spans="1:22" s="1744" customFormat="1" ht="9.9" customHeight="1" x14ac:dyDescent="0.25">
      <c r="A182" s="1743"/>
      <c r="B182" s="1743"/>
      <c r="C182" s="1740">
        <v>22</v>
      </c>
      <c r="D182" s="1739"/>
      <c r="E182" s="1773">
        <f>IF(ISNA(VLOOKUP($E$171,'Val-Dép'!B22:AA22,21,FALSE)),,VLOOKUP($E$171,'Val-Dép'!B22:AA22,21,FALSE))</f>
        <v>0</v>
      </c>
      <c r="F182" s="1774">
        <f>IF(ISNA(VLOOKUP($E$171,'[2]Val-Dép'!Z22:AF22,6,FALSE)),,VLOOKUP($E$171,'[2]Val-Dép'!Z22:AF22,6,FALSE))</f>
        <v>0</v>
      </c>
      <c r="G182" s="1739"/>
      <c r="H182" s="1770"/>
      <c r="I182" s="1743"/>
      <c r="J182" s="1743"/>
      <c r="K182" s="1772"/>
      <c r="L182" s="1739"/>
      <c r="M182" s="1776">
        <f>IF(ISNA(VLOOKUP($M$171,'Val-Dép'!B44:AM44,38,FALSE)),,VLOOKUP($M$171,'Val-Dép'!B44:AM44,38,FALSE))</f>
        <v>0</v>
      </c>
      <c r="N182" s="1775">
        <f>IF(ISNA(VLOOKUP($M$171,'Val-Dép'!B44:AM44,27,FALSE)),,VLOOKUP($M$171,'Val-Dép'!B44:AM44,27,FALSE))</f>
        <v>0</v>
      </c>
      <c r="O182" s="1739"/>
      <c r="P182" s="1740">
        <v>44</v>
      </c>
      <c r="Q182" s="1743"/>
      <c r="R182" s="1743"/>
      <c r="S182" s="1743"/>
      <c r="T182" s="1743"/>
      <c r="U182" s="1743"/>
      <c r="V182" s="1743"/>
    </row>
    <row r="183" spans="1:22" s="1744" customFormat="1" ht="9.9" customHeight="1" thickBot="1" x14ac:dyDescent="0.3">
      <c r="A183" s="1743"/>
      <c r="B183" s="1743"/>
      <c r="C183" s="1740">
        <v>23</v>
      </c>
      <c r="D183" s="1739"/>
      <c r="E183" s="1773">
        <f>IF(ISNA(VLOOKUP($E$171,'Val-Dép'!B23:AA23,21,FALSE)),,VLOOKUP($E$171,'Val-Dép'!B23:AA23,21,FALSE))</f>
        <v>0</v>
      </c>
      <c r="F183" s="1774">
        <f>IF(ISNA(VLOOKUP($E$171,'[2]Val-Dép'!Z23:AF23,6,FALSE)),,VLOOKUP($E$171,'[2]Val-Dép'!Z23:AF23,6,FALSE))</f>
        <v>0</v>
      </c>
      <c r="G183" s="1739"/>
      <c r="H183" s="1770"/>
      <c r="I183" s="1743"/>
      <c r="J183" s="1743"/>
      <c r="K183" s="1772"/>
      <c r="L183" s="1739"/>
      <c r="M183" s="1776">
        <f>IF(ISNA(VLOOKUP($M$171,'Val-Dép'!B45:AM45,38,FALSE)),,VLOOKUP($M$171,'Val-Dép'!B45:AM45,38,FALSE))</f>
        <v>0</v>
      </c>
      <c r="N183" s="1775">
        <f>IF(ISNA(VLOOKUP($M$171,'Val-Dép'!B45:AM45,27,FALSE)),,VLOOKUP($M$171,'Val-Dép'!B45:AM45,27,FALSE))</f>
        <v>0</v>
      </c>
      <c r="O183" s="1739"/>
      <c r="P183" s="1740"/>
      <c r="Q183" s="1743"/>
      <c r="R183" s="1743"/>
      <c r="S183" s="1743"/>
      <c r="T183" s="1743"/>
      <c r="U183" s="1743"/>
      <c r="V183" s="1743"/>
    </row>
    <row r="184" spans="1:22" s="1744" customFormat="1" ht="9.9" customHeight="1" x14ac:dyDescent="0.25">
      <c r="A184" s="1743"/>
      <c r="B184" s="1743"/>
      <c r="C184" s="1739"/>
      <c r="D184" s="1780"/>
      <c r="E184" s="1781">
        <f>SUM(E172:E183)</f>
        <v>0</v>
      </c>
      <c r="F184" s="1782">
        <f>SUM(F173:F183)</f>
        <v>0</v>
      </c>
      <c r="G184" s="1780"/>
      <c r="H184" s="1770"/>
      <c r="I184" s="1743"/>
      <c r="J184" s="1743"/>
      <c r="K184" s="1772"/>
      <c r="L184" s="1739"/>
      <c r="M184" s="1781">
        <f>SUM(M173:M183)</f>
        <v>0</v>
      </c>
      <c r="N184" s="1781">
        <f>SUM(N173:N183)</f>
        <v>0</v>
      </c>
      <c r="O184" s="1780"/>
      <c r="P184" s="1846"/>
      <c r="Q184" s="1743"/>
      <c r="R184" s="1743"/>
      <c r="S184" s="1743"/>
      <c r="T184" s="1743"/>
      <c r="U184" s="1743"/>
      <c r="V184" s="1743"/>
    </row>
    <row r="185" spans="1:22" s="1744" customFormat="1" ht="9.9" customHeight="1" thickBot="1" x14ac:dyDescent="0.3">
      <c r="A185" s="1743"/>
      <c r="B185" s="1743"/>
      <c r="C185" s="1739"/>
      <c r="D185" s="1739"/>
      <c r="E185" s="1821">
        <f>E184-F184</f>
        <v>0</v>
      </c>
      <c r="F185" s="1842" t="s">
        <v>1926</v>
      </c>
      <c r="G185" s="1745"/>
      <c r="H185" s="1814"/>
      <c r="I185" s="1743"/>
      <c r="J185" s="1743"/>
      <c r="K185" s="1772"/>
      <c r="L185" s="1739"/>
      <c r="M185" s="1739"/>
      <c r="N185" s="1822">
        <f>(N184-M184)</f>
        <v>0</v>
      </c>
      <c r="O185" s="1740" t="s">
        <v>189</v>
      </c>
      <c r="P185" s="4150" t="s">
        <v>1923</v>
      </c>
      <c r="Q185" s="4150"/>
      <c r="R185" s="4151"/>
      <c r="S185" s="1743"/>
      <c r="T185" s="1743"/>
      <c r="U185" s="1743"/>
      <c r="V185" s="1743"/>
    </row>
    <row r="186" spans="1:22" s="1744" customFormat="1" ht="9.9" customHeight="1" x14ac:dyDescent="0.25">
      <c r="A186" s="1743"/>
      <c r="B186" s="1743"/>
      <c r="C186" s="1743"/>
      <c r="D186" s="1743"/>
      <c r="E186" s="1743"/>
      <c r="F186" s="1743"/>
      <c r="G186" s="1743"/>
      <c r="H186" s="1743"/>
      <c r="I186" s="1743"/>
      <c r="J186" s="1743"/>
      <c r="K186" s="1743"/>
      <c r="L186" s="1743"/>
      <c r="M186" s="1743"/>
      <c r="N186" s="1743"/>
      <c r="O186" s="1743"/>
      <c r="P186" s="1743"/>
      <c r="Q186" s="1743"/>
      <c r="R186" s="1743"/>
      <c r="S186" s="1743"/>
      <c r="T186" s="1743"/>
      <c r="U186" s="1743"/>
      <c r="V186" s="1743"/>
    </row>
    <row r="187" spans="1:22" s="1744" customFormat="1" ht="9.9" customHeight="1" x14ac:dyDescent="0.25">
      <c r="A187" s="1743"/>
      <c r="B187" s="1743"/>
      <c r="C187" s="1743"/>
      <c r="D187" s="1743"/>
      <c r="E187" s="1743"/>
      <c r="F187" s="1743"/>
      <c r="G187" s="1743"/>
      <c r="H187" s="1743"/>
      <c r="I187" s="1743"/>
      <c r="J187" s="1743"/>
      <c r="K187" s="1743"/>
      <c r="L187" s="1743"/>
      <c r="M187" s="1743"/>
      <c r="N187" s="1743"/>
      <c r="O187" s="1743"/>
      <c r="P187" s="1743"/>
      <c r="Q187" s="1743"/>
      <c r="R187" s="1743"/>
      <c r="S187" s="1743"/>
      <c r="T187" s="1743"/>
      <c r="U187" s="1743"/>
      <c r="V187" s="1743"/>
    </row>
    <row r="188" spans="1:22" s="1744" customFormat="1" ht="9.9" customHeight="1" thickBot="1" x14ac:dyDescent="0.3">
      <c r="A188" s="1743"/>
      <c r="B188" s="1743"/>
      <c r="C188" s="1772"/>
      <c r="D188" s="1836"/>
      <c r="E188" s="1746" t="s">
        <v>348</v>
      </c>
      <c r="F188" s="1837"/>
      <c r="G188" s="1838"/>
      <c r="H188" s="1772"/>
      <c r="I188" s="1739"/>
      <c r="J188" s="1739"/>
      <c r="K188" s="1772"/>
      <c r="L188" s="1839"/>
      <c r="M188" s="1746" t="s">
        <v>348</v>
      </c>
      <c r="N188" s="1840"/>
      <c r="O188" s="1841"/>
      <c r="P188" s="1771"/>
      <c r="Q188" s="1743"/>
      <c r="R188" s="1743"/>
      <c r="S188" s="1743"/>
      <c r="T188" s="1743"/>
      <c r="U188" s="1743"/>
      <c r="V188" s="1743"/>
    </row>
    <row r="189" spans="1:22" s="1744" customFormat="1" ht="9.9" customHeight="1" thickBot="1" x14ac:dyDescent="0.3">
      <c r="A189" s="1743"/>
      <c r="B189" s="1743"/>
      <c r="C189" s="1772"/>
      <c r="D189" s="1752" t="s">
        <v>192</v>
      </c>
      <c r="E189" s="1753" t="str">
        <f t="array" ref="E189">INDEX('Val-Dép'!B$1:B$25,MIN(IF(COUNTIF($E$11:$E$188,'Val-Dép'!B$13:B$25)=0,ROW($13:$25))))</f>
        <v>C00012</v>
      </c>
      <c r="F189" s="1754">
        <f>IFERROR(VLOOKUP($E$189,'Val-Dép'!$B$12:$D$26,2,FALSE),"")</f>
        <v>0</v>
      </c>
      <c r="G189" s="1752" t="s">
        <v>191</v>
      </c>
      <c r="H189" s="1764"/>
      <c r="I189" s="1739"/>
      <c r="J189" s="1739"/>
      <c r="K189" s="1772"/>
      <c r="L189" s="1752" t="s">
        <v>192</v>
      </c>
      <c r="M189" s="1753">
        <f t="array" ref="M189">INDEX('Val-Dép'!B$1:B$45,MIN(IF(COUNTIF($M$11:$M$188,'Val-Dép'!B$35:B$45)=0,ROW($35:$45))))</f>
        <v>0</v>
      </c>
      <c r="N189" s="1754" t="str">
        <f>IFERROR(VLOOKUP($M$189,'Val-Dép'!$B$45:$D$45,2,FALSE),"")</f>
        <v/>
      </c>
      <c r="O189" s="1752" t="s">
        <v>191</v>
      </c>
      <c r="P189" s="1740"/>
      <c r="Q189" s="1743"/>
      <c r="R189" s="1743"/>
      <c r="S189" s="1743"/>
      <c r="T189" s="1743"/>
      <c r="U189" s="1743"/>
      <c r="V189" s="1743"/>
    </row>
    <row r="190" spans="1:22" s="1744" customFormat="1" ht="9.9" customHeight="1" x14ac:dyDescent="0.25">
      <c r="A190" s="1743"/>
      <c r="B190" s="1743"/>
      <c r="C190" s="1739"/>
      <c r="D190" s="1797" t="s">
        <v>207</v>
      </c>
      <c r="E190" s="1761">
        <f>IFERROR(VLOOKUP($E$189,'Val-Dép'!$B$12:$D$26,3,FALSE),"")</f>
        <v>0</v>
      </c>
      <c r="F190" s="1798" t="s">
        <v>211</v>
      </c>
      <c r="G190" s="1801"/>
      <c r="H190" s="1770"/>
      <c r="I190" s="1739"/>
      <c r="J190" s="1739"/>
      <c r="K190" s="1772"/>
      <c r="L190" s="1801"/>
      <c r="M190" s="1802" t="s">
        <v>208</v>
      </c>
      <c r="N190" s="1761" t="str">
        <f>IFERROR(VLOOKUP($M$189,'Val-Dép'!$B$45:$D$45,3,FALSE),"")</f>
        <v/>
      </c>
      <c r="O190" s="1797" t="s">
        <v>207</v>
      </c>
      <c r="P190" s="1740"/>
      <c r="Q190" s="1743"/>
      <c r="R190" s="1743"/>
      <c r="S190" s="1743"/>
      <c r="T190" s="1743"/>
      <c r="U190" s="1743"/>
      <c r="V190" s="1743"/>
    </row>
    <row r="191" spans="1:22" s="1744" customFormat="1" ht="9.9" customHeight="1" x14ac:dyDescent="0.25">
      <c r="A191" s="1743"/>
      <c r="B191" s="1743"/>
      <c r="C191" s="1740">
        <v>13</v>
      </c>
      <c r="D191" s="1745"/>
      <c r="E191" s="1773">
        <f>IF(ISNA(VLOOKUP($E$189,'Val-Dép'!B13:AA13,21,FALSE)),,VLOOKUP($E$189,'Val-Dép'!B13:AA13,21,FALSE))</f>
        <v>0</v>
      </c>
      <c r="F191" s="1774">
        <f>IF(ISNA(VLOOKUP($E$189,'Val-Dép'!AA13:AG13,6,FALSE)),,VLOOKUP($E$189,'Val-Dép'!AA13:AG13,6,FALSE))</f>
        <v>0</v>
      </c>
      <c r="G191" s="1739"/>
      <c r="H191" s="1770"/>
      <c r="I191" s="1739"/>
      <c r="J191" s="1739"/>
      <c r="K191" s="1772"/>
      <c r="L191" s="1739"/>
      <c r="M191" s="1776">
        <f>IF(ISNA(VLOOKUP($M$189,'Val-Dép'!B35:AM35,38,FALSE)),,VLOOKUP($M$189,'Val-Dép'!B35:AM35,38,FALSE))</f>
        <v>0</v>
      </c>
      <c r="N191" s="1775">
        <f>IF(ISNA(VLOOKUP($M$189,'Val-Dép'!B35:AM35,27,FALSE)),,VLOOKUP($M$189,'Val-Dép'!B35:AM35,27,FALSE))</f>
        <v>0</v>
      </c>
      <c r="O191" s="1745"/>
      <c r="P191" s="1740">
        <v>35</v>
      </c>
      <c r="Q191" s="1743"/>
      <c r="R191" s="1743"/>
      <c r="S191" s="1743"/>
      <c r="T191" s="1743"/>
      <c r="U191" s="1743"/>
      <c r="V191" s="1743"/>
    </row>
    <row r="192" spans="1:22" s="1744" customFormat="1" ht="9.9" customHeight="1" x14ac:dyDescent="0.25">
      <c r="A192" s="1743"/>
      <c r="B192" s="1743"/>
      <c r="C192" s="1740">
        <v>14</v>
      </c>
      <c r="D192" s="1745"/>
      <c r="E192" s="1773">
        <f>IF(ISNA(VLOOKUP($E$189,'Val-Dép'!B14:AA14,21,FALSE)),,VLOOKUP($E$189,'Val-Dép'!B14:AA14,21,FALSE))</f>
        <v>0</v>
      </c>
      <c r="F192" s="1774">
        <f>IF(ISNA(VLOOKUP($E$189,'Val-Dép'!AA14:AG14,6,FALSE)),,VLOOKUP($E$189,'Val-Dép'!AA14:AG14,6,FALSE))</f>
        <v>0</v>
      </c>
      <c r="G192" s="1739"/>
      <c r="H192" s="1770"/>
      <c r="I192" s="1743"/>
      <c r="J192" s="1743"/>
      <c r="K192" s="1772"/>
      <c r="L192" s="1739"/>
      <c r="M192" s="1776">
        <f>IF(ISNA(VLOOKUP($M$189,'Val-Dép'!B36:AM36,38,FALSE)),,VLOOKUP($M$189,'Val-Dép'!B36:AM36,38,FALSE))</f>
        <v>0</v>
      </c>
      <c r="N192" s="1775">
        <f>IF(ISNA(VLOOKUP($M$189,'Val-Dép'!B36:AM36,27,FALSE)),,VLOOKUP($M$189,'Val-Dép'!B36:AM36,27,FALSE))</f>
        <v>0</v>
      </c>
      <c r="O192" s="1745"/>
      <c r="P192" s="1740">
        <v>36</v>
      </c>
      <c r="Q192" s="1743"/>
      <c r="R192" s="1743"/>
      <c r="S192" s="1743"/>
      <c r="T192" s="1743"/>
      <c r="U192" s="1743"/>
      <c r="V192" s="1743"/>
    </row>
    <row r="193" spans="1:22" s="1744" customFormat="1" ht="9.9" customHeight="1" x14ac:dyDescent="0.25">
      <c r="A193" s="1743"/>
      <c r="B193" s="1743"/>
      <c r="C193" s="1740">
        <v>15</v>
      </c>
      <c r="D193" s="1745"/>
      <c r="E193" s="1773">
        <f>IF(ISNA(VLOOKUP($E$189,'Val-Dép'!B15:AA15,21,FALSE)),,VLOOKUP($E$189,'Val-Dép'!B15:AA15,21,FALSE))</f>
        <v>0</v>
      </c>
      <c r="F193" s="1774">
        <f>IF(ISNA(VLOOKUP($E$189,'Val-Dép'!AA15:AG15,6,FALSE)),,VLOOKUP($E$189,'Val-Dép'!AA15:AG15,6,FALSE))</f>
        <v>0</v>
      </c>
      <c r="G193" s="1739"/>
      <c r="H193" s="1770"/>
      <c r="I193" s="1743"/>
      <c r="J193" s="1743"/>
      <c r="K193" s="1772"/>
      <c r="L193" s="1739"/>
      <c r="M193" s="1776">
        <f>IF(ISNA(VLOOKUP($M$189,'Val-Dép'!B37:AM37,38,FALSE)),,VLOOKUP($M$189,'Val-Dép'!B37:AM37,38,FALSE))</f>
        <v>0</v>
      </c>
      <c r="N193" s="1775">
        <f>IF(ISNA(VLOOKUP($M$189,'Val-Dép'!B37:AM37,27,FALSE)),,VLOOKUP($M$189,'Val-Dép'!B37:AM37,27,FALSE))</f>
        <v>0</v>
      </c>
      <c r="O193" s="1745"/>
      <c r="P193" s="1740">
        <v>37</v>
      </c>
      <c r="Q193" s="1743"/>
      <c r="R193" s="1743"/>
      <c r="S193" s="1743"/>
      <c r="T193" s="1743"/>
      <c r="U193" s="1743"/>
      <c r="V193" s="1743"/>
    </row>
    <row r="194" spans="1:22" s="1744" customFormat="1" ht="9.9" customHeight="1" x14ac:dyDescent="0.25">
      <c r="A194" s="1743"/>
      <c r="B194" s="1743"/>
      <c r="C194" s="1740">
        <v>16</v>
      </c>
      <c r="D194" s="1745"/>
      <c r="E194" s="1773">
        <f>IF(ISNA(VLOOKUP($E$189,'Val-Dép'!B16:AA16,21,FALSE)),,VLOOKUP($E$189,'Val-Dép'!B16:AA16,21,FALSE))</f>
        <v>0</v>
      </c>
      <c r="F194" s="1774">
        <f>IF(ISNA(VLOOKUP($E$189,'Val-Dép'!AA16:AG16,6,FALSE)),,VLOOKUP($E$189,'Val-Dép'!AA16:AG16,6,FALSE))</f>
        <v>0</v>
      </c>
      <c r="G194" s="1739"/>
      <c r="H194" s="1770"/>
      <c r="I194" s="1743"/>
      <c r="J194" s="1743"/>
      <c r="K194" s="1772"/>
      <c r="L194" s="1739"/>
      <c r="M194" s="1776">
        <f>IF(ISNA(VLOOKUP($M$189,'Val-Dép'!B38:AM38,38,FALSE)),,VLOOKUP($M$189,'Val-Dép'!B38:AM38,38,FALSE))</f>
        <v>0</v>
      </c>
      <c r="N194" s="1775">
        <f>IF(ISNA(VLOOKUP($M$189,'Val-Dép'!B38:AM38,27,FALSE)),,VLOOKUP($M$189,'Val-Dép'!B38:AM38,27,FALSE))</f>
        <v>0</v>
      </c>
      <c r="O194" s="1745"/>
      <c r="P194" s="1740">
        <v>38</v>
      </c>
      <c r="Q194" s="1743"/>
      <c r="R194" s="1743"/>
      <c r="S194" s="1743"/>
      <c r="T194" s="1743"/>
      <c r="U194" s="1743"/>
      <c r="V194" s="1743"/>
    </row>
    <row r="195" spans="1:22" s="1744" customFormat="1" ht="9.9" customHeight="1" x14ac:dyDescent="0.25">
      <c r="A195" s="1743"/>
      <c r="B195" s="1743"/>
      <c r="C195" s="1740">
        <v>17</v>
      </c>
      <c r="D195" s="1739"/>
      <c r="E195" s="1773">
        <f>IF(ISNA(VLOOKUP($E$189,'Val-Dép'!B17:AA17,21,FALSE)),,VLOOKUP($E$189,'Val-Dép'!B17:AA17,21,FALSE))</f>
        <v>0</v>
      </c>
      <c r="F195" s="1774">
        <f>IF(ISNA(VLOOKUP($E$189,'Val-Dép'!AA17:AG17,6,FALSE)),,VLOOKUP($E$189,'Val-Dép'!AA17:AG17,6,FALSE))</f>
        <v>0</v>
      </c>
      <c r="G195" s="1739"/>
      <c r="H195" s="1770"/>
      <c r="I195" s="1743"/>
      <c r="J195" s="1743"/>
      <c r="K195" s="1772"/>
      <c r="L195" s="1739"/>
      <c r="M195" s="1776">
        <f>IF(ISNA(VLOOKUP($M$189,'Val-Dép'!B39:AM39,38,FALSE)),,VLOOKUP($M$189,'Val-Dép'!B39:AM39,38,FALSE))</f>
        <v>0</v>
      </c>
      <c r="N195" s="1775">
        <f>IF(ISNA(VLOOKUP($M$189,'Val-Dép'!B39:AM39,27,FALSE)),,VLOOKUP($M$189,'Val-Dép'!B39:AM39,27,FALSE))</f>
        <v>0</v>
      </c>
      <c r="O195" s="1739"/>
      <c r="P195" s="1740">
        <v>39</v>
      </c>
      <c r="Q195" s="1743"/>
      <c r="R195" s="1743"/>
      <c r="S195" s="1743"/>
      <c r="T195" s="1743"/>
      <c r="U195" s="1743"/>
      <c r="V195" s="1743"/>
    </row>
    <row r="196" spans="1:22" s="1744" customFormat="1" ht="9.9" customHeight="1" x14ac:dyDescent="0.25">
      <c r="A196" s="1743"/>
      <c r="B196" s="1743"/>
      <c r="C196" s="1740">
        <v>18</v>
      </c>
      <c r="D196" s="1739"/>
      <c r="E196" s="1773">
        <f>IF(ISNA(VLOOKUP($E$189,'Val-Dép'!B18:AA18,21,FALSE)),,VLOOKUP($E$189,'Val-Dép'!B18:AA18,21,FALSE))</f>
        <v>0</v>
      </c>
      <c r="F196" s="1774">
        <f>IF(ISNA(VLOOKUP($E$189,'Val-Dép'!AA18:AG18,6,FALSE)),,VLOOKUP($E$189,'Val-Dép'!AA18:AG18,6,FALSE))</f>
        <v>0</v>
      </c>
      <c r="G196" s="1739"/>
      <c r="H196" s="1770"/>
      <c r="I196" s="1743"/>
      <c r="J196" s="1743"/>
      <c r="K196" s="1772"/>
      <c r="L196" s="1739"/>
      <c r="M196" s="1776">
        <f>IF(ISNA(VLOOKUP($M$189,'Val-Dép'!B40:AM40,38,FALSE)),,VLOOKUP($M$189,'Val-Dép'!B40:AM40,38,FALSE))</f>
        <v>0</v>
      </c>
      <c r="N196" s="1775">
        <f>IF(ISNA(VLOOKUP($M$189,'Val-Dép'!B40:AM40,27,FALSE)),,VLOOKUP($M$189,'Val-Dép'!B40:AM40,27,FALSE))</f>
        <v>0</v>
      </c>
      <c r="O196" s="1739"/>
      <c r="P196" s="1740">
        <v>40</v>
      </c>
      <c r="Q196" s="1743"/>
      <c r="R196" s="1743"/>
      <c r="S196" s="1743"/>
      <c r="T196" s="1743"/>
      <c r="U196" s="1743"/>
      <c r="V196" s="1743"/>
    </row>
    <row r="197" spans="1:22" s="1744" customFormat="1" ht="9.9" customHeight="1" x14ac:dyDescent="0.25">
      <c r="A197" s="1743"/>
      <c r="B197" s="1743"/>
      <c r="C197" s="1740">
        <v>19</v>
      </c>
      <c r="D197" s="1739"/>
      <c r="E197" s="1773">
        <f>IF(ISNA(VLOOKUP($E$189,'Val-Dép'!B19:AA19,21,FALSE)),,VLOOKUP($E$189,'Val-Dép'!B19:AA19,21,FALSE))</f>
        <v>0</v>
      </c>
      <c r="F197" s="1774">
        <f>IF(ISNA(VLOOKUP($E$189,'Val-Dép'!AA19:AG19,6,FALSE)),,VLOOKUP($E$189,'Val-Dép'!AA19:AG19,6,FALSE))</f>
        <v>0</v>
      </c>
      <c r="G197" s="1739"/>
      <c r="H197" s="1770"/>
      <c r="I197" s="1743"/>
      <c r="J197" s="1743"/>
      <c r="K197" s="1772"/>
      <c r="L197" s="1739"/>
      <c r="M197" s="1776">
        <f>IF(ISNA(VLOOKUP($M$189,'Val-Dép'!B41:AM41,38,FALSE)),,VLOOKUP($M$189,'Val-Dép'!B41:AM41,38,FALSE))</f>
        <v>0</v>
      </c>
      <c r="N197" s="1775">
        <f>IF(ISNA(VLOOKUP($M$189,'Val-Dép'!B41:AM41,27,FALSE)),,VLOOKUP($M$189,'Val-Dép'!B41:AM41,27,FALSE))</f>
        <v>0</v>
      </c>
      <c r="O197" s="1739"/>
      <c r="P197" s="1740">
        <v>41</v>
      </c>
      <c r="Q197" s="1743"/>
      <c r="R197" s="1743"/>
      <c r="S197" s="1743"/>
      <c r="T197" s="1743"/>
      <c r="U197" s="1743"/>
      <c r="V197" s="1743"/>
    </row>
    <row r="198" spans="1:22" s="1744" customFormat="1" ht="9.9" customHeight="1" x14ac:dyDescent="0.25">
      <c r="A198" s="1743"/>
      <c r="B198" s="1743"/>
      <c r="C198" s="1740">
        <v>20</v>
      </c>
      <c r="D198" s="1739"/>
      <c r="E198" s="1773">
        <f>IF(ISNA(VLOOKUP($E$189,'Val-Dép'!B20:AA20,21,FALSE)),,VLOOKUP($E$189,'Val-Dép'!B20:AA20,21,FALSE))</f>
        <v>0</v>
      </c>
      <c r="F198" s="1774">
        <f>IF(ISNA(VLOOKUP($E$189,'Val-Dép'!AA20:AG20,6,FALSE)),,VLOOKUP($E$189,'Val-Dép'!AA20:AG20,6,FALSE))</f>
        <v>0</v>
      </c>
      <c r="G198" s="1739"/>
      <c r="H198" s="1770"/>
      <c r="I198" s="1743"/>
      <c r="J198" s="1743"/>
      <c r="K198" s="1772"/>
      <c r="L198" s="1739"/>
      <c r="M198" s="1776">
        <f>IF(ISNA(VLOOKUP($M$189,'Val-Dép'!B42:AM42,38,FALSE)),,VLOOKUP($M$189,'Val-Dép'!B42:AM42,38,FALSE))</f>
        <v>0</v>
      </c>
      <c r="N198" s="1775">
        <f>IF(ISNA(VLOOKUP($M$189,'Val-Dép'!B42:AM42,27,FALSE)),,VLOOKUP($M$189,'Val-Dép'!B42:AM42,27,FALSE))</f>
        <v>0</v>
      </c>
      <c r="O198" s="1739"/>
      <c r="P198" s="1740">
        <v>42</v>
      </c>
      <c r="Q198" s="1743"/>
      <c r="R198" s="1743"/>
      <c r="S198" s="1743"/>
      <c r="T198" s="1743"/>
      <c r="U198" s="1743"/>
      <c r="V198" s="1743"/>
    </row>
    <row r="199" spans="1:22" s="1744" customFormat="1" ht="9.9" customHeight="1" x14ac:dyDescent="0.25">
      <c r="A199" s="1743"/>
      <c r="B199" s="1743"/>
      <c r="C199" s="1740">
        <v>21</v>
      </c>
      <c r="D199" s="1739"/>
      <c r="E199" s="1773">
        <f>IF(ISNA(VLOOKUP($E$189,'Val-Dép'!B21:AA21,21,FALSE)),,VLOOKUP($E$189,'Val-Dép'!B21:AA21,21,FALSE))</f>
        <v>0</v>
      </c>
      <c r="F199" s="1774">
        <f>IF(ISNA(VLOOKUP($E$189,'Val-Dép'!AA21:AG21,6,FALSE)),,VLOOKUP($E$189,'Val-Dép'!AA21:AG21,6,FALSE))</f>
        <v>0</v>
      </c>
      <c r="G199" s="1739"/>
      <c r="H199" s="1770"/>
      <c r="I199" s="1743"/>
      <c r="J199" s="1743"/>
      <c r="K199" s="1772"/>
      <c r="L199" s="1739"/>
      <c r="M199" s="1776">
        <f>IF(ISNA(VLOOKUP($M$189,'Val-Dép'!B43:AM43,38,FALSE)),,VLOOKUP($M$189,'Val-Dép'!B43:AM43,38,FALSE))</f>
        <v>0</v>
      </c>
      <c r="N199" s="1775">
        <f>IF(ISNA(VLOOKUP($M$189,'Val-Dép'!B43:AM43,27,FALSE)),,VLOOKUP($M$189,'Val-Dép'!B43:AM43,27,FALSE))</f>
        <v>0</v>
      </c>
      <c r="O199" s="1739"/>
      <c r="P199" s="1740">
        <v>43</v>
      </c>
      <c r="Q199" s="1743"/>
      <c r="R199" s="1743"/>
      <c r="S199" s="1743"/>
      <c r="T199" s="1743"/>
      <c r="U199" s="1743"/>
      <c r="V199" s="1743"/>
    </row>
    <row r="200" spans="1:22" s="1744" customFormat="1" ht="9.9" customHeight="1" x14ac:dyDescent="0.25">
      <c r="A200" s="1743"/>
      <c r="B200" s="1743"/>
      <c r="C200" s="1740">
        <v>22</v>
      </c>
      <c r="D200" s="1739"/>
      <c r="E200" s="1773">
        <f>IF(ISNA(VLOOKUP($E$189,'Val-Dép'!B22:AA22,21,FALSE)),,VLOOKUP($E$189,'Val-Dép'!B22:AA22,21,FALSE))</f>
        <v>0</v>
      </c>
      <c r="F200" s="1774">
        <f>IF(ISNA(VLOOKUP($E$189,'Val-Dép'!AA22:AG22,6,FALSE)),,VLOOKUP($E$189,'Val-Dép'!AA22:AG22,6,FALSE))</f>
        <v>0</v>
      </c>
      <c r="G200" s="1739"/>
      <c r="H200" s="1770"/>
      <c r="I200" s="1743"/>
      <c r="J200" s="1743"/>
      <c r="K200" s="1772"/>
      <c r="L200" s="1739"/>
      <c r="M200" s="1776">
        <f>IF(ISNA(VLOOKUP($M$189,'Val-Dép'!B44:AM44,38,FALSE)),,VLOOKUP($M$189,'Val-Dép'!B44:AM44,38,FALSE))</f>
        <v>0</v>
      </c>
      <c r="N200" s="1775">
        <f>IF(ISNA(VLOOKUP($M$189,'Val-Dép'!B44:AM44,27,FALSE)),,VLOOKUP($M$189,'Val-Dép'!B44:AM44,27,FALSE))</f>
        <v>0</v>
      </c>
      <c r="O200" s="1739"/>
      <c r="P200" s="1740">
        <v>44</v>
      </c>
      <c r="Q200" s="1743"/>
      <c r="R200" s="1743"/>
      <c r="S200" s="1743"/>
      <c r="T200" s="1743"/>
      <c r="U200" s="1743"/>
      <c r="V200" s="1743"/>
    </row>
    <row r="201" spans="1:22" s="1744" customFormat="1" ht="9.9" customHeight="1" thickBot="1" x14ac:dyDescent="0.3">
      <c r="A201" s="1743"/>
      <c r="B201" s="1743"/>
      <c r="C201" s="1740">
        <v>23</v>
      </c>
      <c r="D201" s="1739"/>
      <c r="E201" s="1773">
        <f>IF(ISNA(VLOOKUP($E$189,'Val-Dép'!B23:AA23,21,FALSE)),,VLOOKUP($E$189,'Val-Dép'!B23:AA23,21,FALSE))</f>
        <v>0</v>
      </c>
      <c r="F201" s="1774">
        <f>IF(ISNA(VLOOKUP($E$189,'Val-Dép'!AA23:AG23,6,FALSE)),,VLOOKUP($E$189,'Val-Dép'!AA23:AG23,6,FALSE))</f>
        <v>0</v>
      </c>
      <c r="G201" s="1739"/>
      <c r="H201" s="1770"/>
      <c r="I201" s="1743"/>
      <c r="J201" s="1743"/>
      <c r="K201" s="1772"/>
      <c r="L201" s="1739"/>
      <c r="M201" s="1776">
        <f>IF(ISNA(VLOOKUP($M$189,'Val-Dép'!B45:AM45,38,FALSE)),,VLOOKUP($M$189,'Val-Dép'!B45:AM45,38,FALSE))</f>
        <v>0</v>
      </c>
      <c r="N201" s="1775">
        <f>IF(ISNA(VLOOKUP($M$189,'Val-Dép'!B45:AM45,27,FALSE)),,VLOOKUP($M$189,'Val-Dép'!B45:AM45,27,FALSE))</f>
        <v>0</v>
      </c>
      <c r="O201" s="1739"/>
      <c r="P201" s="1740"/>
      <c r="Q201" s="1743"/>
      <c r="R201" s="1743"/>
      <c r="S201" s="1743"/>
      <c r="T201" s="1743"/>
      <c r="U201" s="1743"/>
      <c r="V201" s="1743"/>
    </row>
    <row r="202" spans="1:22" s="1744" customFormat="1" ht="9.9" customHeight="1" x14ac:dyDescent="0.25">
      <c r="A202" s="1743"/>
      <c r="B202" s="1743"/>
      <c r="C202" s="1739"/>
      <c r="D202" s="1780"/>
      <c r="E202" s="1781">
        <f>SUM(E190:E201)</f>
        <v>0</v>
      </c>
      <c r="F202" s="1782">
        <f>SUM(F191:F201)</f>
        <v>0</v>
      </c>
      <c r="G202" s="1780"/>
      <c r="H202" s="1770"/>
      <c r="I202" s="1743"/>
      <c r="J202" s="1743"/>
      <c r="K202" s="1772"/>
      <c r="L202" s="1739"/>
      <c r="M202" s="1781">
        <f>SUM(M191:M201)</f>
        <v>0</v>
      </c>
      <c r="N202" s="1781">
        <f>SUM(N191:N201)</f>
        <v>0</v>
      </c>
      <c r="O202" s="1780"/>
      <c r="P202" s="1846"/>
      <c r="Q202" s="1743"/>
      <c r="R202" s="1743"/>
      <c r="S202" s="1743"/>
      <c r="T202" s="1743"/>
      <c r="U202" s="1743"/>
      <c r="V202" s="1743"/>
    </row>
    <row r="203" spans="1:22" s="1744" customFormat="1" ht="9.9" customHeight="1" thickBot="1" x14ac:dyDescent="0.3">
      <c r="A203" s="1743"/>
      <c r="B203" s="1743"/>
      <c r="C203" s="1739"/>
      <c r="D203" s="1739"/>
      <c r="E203" s="1821">
        <f>E202-F202</f>
        <v>0</v>
      </c>
      <c r="F203" s="1842" t="s">
        <v>1925</v>
      </c>
      <c r="G203" s="1745"/>
      <c r="H203" s="1814"/>
      <c r="I203" s="1743"/>
      <c r="J203" s="1743"/>
      <c r="K203" s="1772"/>
      <c r="L203" s="1739"/>
      <c r="M203" s="1739"/>
      <c r="N203" s="1822">
        <f>(N202-M202)</f>
        <v>0</v>
      </c>
      <c r="O203" s="1740" t="s">
        <v>189</v>
      </c>
      <c r="P203" s="4150" t="s">
        <v>1924</v>
      </c>
      <c r="Q203" s="4150"/>
      <c r="R203" s="4151"/>
      <c r="S203" s="1743"/>
      <c r="T203" s="1743"/>
      <c r="U203" s="1743"/>
      <c r="V203" s="1743"/>
    </row>
    <row r="204" spans="1:22" s="1744" customFormat="1" ht="9.9" customHeight="1" x14ac:dyDescent="0.25">
      <c r="A204" s="1743"/>
      <c r="B204" s="1743"/>
      <c r="C204" s="1743"/>
      <c r="D204" s="1743"/>
      <c r="E204" s="1743"/>
      <c r="F204" s="1743"/>
      <c r="G204" s="1743"/>
      <c r="H204" s="1743"/>
      <c r="I204" s="1743"/>
      <c r="J204" s="1743"/>
      <c r="K204" s="1743"/>
      <c r="L204" s="1743"/>
      <c r="M204" s="1743"/>
      <c r="N204" s="1743"/>
      <c r="O204" s="1743"/>
      <c r="P204" s="1743"/>
      <c r="Q204" s="1743"/>
      <c r="R204" s="1743"/>
      <c r="S204" s="1743"/>
      <c r="T204" s="1743"/>
      <c r="U204" s="1743"/>
      <c r="V204" s="1743"/>
    </row>
    <row r="205" spans="1:22" s="1744" customFormat="1" x14ac:dyDescent="0.25">
      <c r="A205" s="1743"/>
      <c r="B205" s="1743"/>
      <c r="C205" s="1743"/>
      <c r="D205" s="1743"/>
      <c r="E205" s="1743"/>
      <c r="F205" s="1743"/>
      <c r="G205" s="1743"/>
      <c r="H205" s="1743"/>
      <c r="I205" s="1743"/>
      <c r="J205" s="1743"/>
      <c r="K205" s="1743"/>
      <c r="L205" s="1743"/>
      <c r="M205" s="1743"/>
      <c r="N205" s="1743"/>
      <c r="O205" s="1743"/>
      <c r="P205" s="1743"/>
      <c r="Q205" s="1743"/>
      <c r="R205" s="1743"/>
      <c r="S205" s="1743"/>
      <c r="T205" s="1743"/>
      <c r="U205" s="1743"/>
      <c r="V205" s="1743"/>
    </row>
    <row r="206" spans="1:22" s="1744" customFormat="1" x14ac:dyDescent="0.25">
      <c r="A206" s="1743"/>
      <c r="B206" s="1743"/>
      <c r="C206" s="1743"/>
      <c r="D206" s="1743"/>
      <c r="E206" s="1743"/>
      <c r="F206" s="1743"/>
      <c r="G206" s="1743"/>
      <c r="H206" s="1743"/>
      <c r="I206" s="1743"/>
      <c r="J206" s="1743"/>
      <c r="K206" s="1743"/>
      <c r="L206" s="1743"/>
      <c r="M206" s="1743"/>
      <c r="N206" s="1743"/>
      <c r="O206" s="1743"/>
      <c r="P206" s="1743"/>
      <c r="Q206" s="1743"/>
      <c r="R206" s="1743"/>
      <c r="S206" s="1743"/>
      <c r="T206" s="1743"/>
      <c r="U206" s="1743"/>
      <c r="V206" s="1743"/>
    </row>
    <row r="207" spans="1:22" s="1744" customFormat="1" x14ac:dyDescent="0.25">
      <c r="A207" s="1743"/>
      <c r="B207" s="1743"/>
      <c r="C207" s="1743"/>
      <c r="D207" s="1743"/>
      <c r="E207" s="1743"/>
      <c r="F207" s="1743"/>
      <c r="G207" s="1743"/>
      <c r="H207" s="1743"/>
      <c r="I207" s="1743"/>
      <c r="J207" s="1743"/>
      <c r="K207" s="1743"/>
      <c r="L207" s="1743"/>
      <c r="M207" s="1743"/>
      <c r="N207" s="1743"/>
      <c r="O207" s="1743"/>
      <c r="P207" s="1743"/>
      <c r="Q207" s="1743"/>
      <c r="R207" s="1743"/>
      <c r="S207" s="1743"/>
      <c r="T207" s="1743"/>
      <c r="U207" s="1743"/>
      <c r="V207" s="1743"/>
    </row>
    <row r="208" spans="1:22" s="1744" customFormat="1" x14ac:dyDescent="0.25">
      <c r="A208" s="1743"/>
      <c r="B208" s="1743"/>
      <c r="C208" s="1743"/>
      <c r="D208" s="1743"/>
      <c r="E208" s="1743"/>
      <c r="F208" s="1743"/>
      <c r="G208" s="1743"/>
      <c r="H208" s="1743"/>
      <c r="I208" s="1743"/>
      <c r="J208" s="1743"/>
      <c r="K208" s="1743"/>
      <c r="L208" s="1743"/>
      <c r="M208" s="1743"/>
      <c r="N208" s="1743"/>
      <c r="O208" s="1743"/>
      <c r="P208" s="1743"/>
      <c r="Q208" s="1743"/>
      <c r="R208" s="1743"/>
      <c r="S208" s="1743"/>
      <c r="T208" s="1743"/>
      <c r="U208" s="1743"/>
      <c r="V208" s="1743"/>
    </row>
    <row r="209" spans="1:22" x14ac:dyDescent="0.25">
      <c r="A209" s="1732"/>
      <c r="B209" s="1732"/>
      <c r="C209" s="1732"/>
      <c r="D209" s="1732"/>
      <c r="E209" s="1732"/>
      <c r="F209" s="1732"/>
      <c r="G209" s="1732"/>
      <c r="H209" s="1732"/>
      <c r="I209" s="1732"/>
      <c r="J209" s="1732"/>
      <c r="K209" s="1732"/>
      <c r="L209" s="1732"/>
      <c r="M209" s="1732"/>
      <c r="N209" s="1732"/>
      <c r="O209" s="1732"/>
      <c r="P209" s="1732"/>
      <c r="Q209" s="1732"/>
      <c r="R209" s="1732"/>
      <c r="S209" s="1732"/>
      <c r="T209" s="1732"/>
      <c r="U209" s="1732"/>
      <c r="V209" s="1732"/>
    </row>
    <row r="210" spans="1:22" x14ac:dyDescent="0.25">
      <c r="A210" s="1732"/>
      <c r="B210" s="1732"/>
      <c r="C210" s="1732"/>
      <c r="D210" s="1732"/>
      <c r="E210" s="1732"/>
      <c r="F210" s="1732"/>
      <c r="G210" s="1732"/>
      <c r="H210" s="1732"/>
      <c r="I210" s="1732"/>
      <c r="J210" s="1732"/>
      <c r="K210" s="1732"/>
      <c r="L210" s="1732"/>
      <c r="M210" s="1732"/>
      <c r="N210" s="1732"/>
      <c r="O210" s="1732"/>
      <c r="P210" s="1732"/>
      <c r="Q210" s="1732"/>
      <c r="R210" s="1732"/>
      <c r="S210" s="1732"/>
      <c r="T210" s="1732"/>
      <c r="U210" s="1732"/>
      <c r="V210" s="1732"/>
    </row>
    <row r="211" spans="1:22" x14ac:dyDescent="0.25">
      <c r="A211" s="1732"/>
      <c r="B211" s="1732"/>
      <c r="C211" s="1732"/>
      <c r="D211" s="1732"/>
      <c r="E211" s="1732"/>
      <c r="F211" s="1732"/>
      <c r="G211" s="1732"/>
      <c r="H211" s="1732"/>
      <c r="I211" s="1732"/>
      <c r="J211" s="1732"/>
      <c r="K211" s="1732"/>
      <c r="L211" s="1732"/>
      <c r="M211" s="1732"/>
      <c r="N211" s="1732"/>
      <c r="O211" s="1732"/>
      <c r="P211" s="1732"/>
      <c r="Q211" s="1732"/>
      <c r="R211" s="1732"/>
      <c r="S211" s="1732"/>
      <c r="T211" s="1732"/>
      <c r="U211" s="1732"/>
      <c r="V211" s="1732"/>
    </row>
    <row r="212" spans="1:22" x14ac:dyDescent="0.25">
      <c r="A212" s="1732"/>
      <c r="B212" s="1732"/>
      <c r="C212" s="1732"/>
      <c r="D212" s="1732"/>
      <c r="E212" s="1732"/>
      <c r="F212" s="1732"/>
      <c r="G212" s="1732"/>
      <c r="H212" s="1732"/>
      <c r="I212" s="1732"/>
      <c r="J212" s="1732"/>
      <c r="K212" s="1732"/>
      <c r="L212" s="1732"/>
      <c r="M212" s="1732"/>
      <c r="N212" s="1732"/>
      <c r="O212" s="1732"/>
      <c r="P212" s="1732"/>
      <c r="Q212" s="1732"/>
      <c r="R212" s="1732"/>
      <c r="S212" s="1732"/>
      <c r="T212" s="1732"/>
      <c r="U212" s="1732"/>
      <c r="V212" s="1732"/>
    </row>
    <row r="213" spans="1:22" x14ac:dyDescent="0.25">
      <c r="A213" s="1732"/>
      <c r="B213" s="1732"/>
      <c r="C213" s="1732"/>
      <c r="D213" s="1732"/>
      <c r="E213" s="1732"/>
      <c r="F213" s="1732"/>
      <c r="G213" s="1732"/>
      <c r="H213" s="1732"/>
      <c r="I213" s="1732"/>
      <c r="J213" s="1732"/>
      <c r="K213" s="1732"/>
      <c r="L213" s="1732"/>
      <c r="M213" s="1732"/>
      <c r="N213" s="1732"/>
      <c r="O213" s="1732"/>
      <c r="P213" s="1732"/>
      <c r="Q213" s="1732"/>
      <c r="R213" s="1732"/>
      <c r="S213" s="1732"/>
      <c r="T213" s="1732"/>
      <c r="U213" s="1732"/>
      <c r="V213" s="1732"/>
    </row>
    <row r="214" spans="1:22" x14ac:dyDescent="0.25">
      <c r="A214" s="1732"/>
      <c r="B214" s="1732"/>
      <c r="C214" s="1732"/>
      <c r="D214" s="1732"/>
      <c r="E214" s="1732"/>
      <c r="F214" s="1732"/>
      <c r="G214" s="1732"/>
      <c r="H214" s="1732"/>
      <c r="I214" s="1732"/>
      <c r="J214" s="1732"/>
      <c r="K214" s="1732"/>
      <c r="L214" s="1732"/>
      <c r="M214" s="1732"/>
      <c r="N214" s="1732"/>
      <c r="O214" s="1732"/>
      <c r="P214" s="1732"/>
      <c r="Q214" s="1732"/>
      <c r="R214" s="1732"/>
      <c r="S214" s="1732"/>
      <c r="T214" s="1732"/>
      <c r="U214" s="1732"/>
      <c r="V214" s="1732"/>
    </row>
    <row r="215" spans="1:22" x14ac:dyDescent="0.25">
      <c r="A215" s="1732"/>
      <c r="B215" s="1732"/>
      <c r="C215" s="1732"/>
      <c r="D215" s="1732"/>
      <c r="E215" s="1732"/>
      <c r="F215" s="1732"/>
      <c r="G215" s="1732"/>
      <c r="H215" s="1732"/>
      <c r="I215" s="1732"/>
      <c r="J215" s="1732"/>
      <c r="K215" s="1732"/>
      <c r="L215" s="1732"/>
      <c r="M215" s="1732"/>
      <c r="N215" s="1732"/>
      <c r="O215" s="1732"/>
      <c r="P215" s="1732"/>
      <c r="Q215" s="1732"/>
      <c r="R215" s="1732"/>
      <c r="S215" s="1732"/>
      <c r="T215" s="1732"/>
      <c r="U215" s="1732"/>
      <c r="V215" s="1732"/>
    </row>
    <row r="216" spans="1:22" x14ac:dyDescent="0.25">
      <c r="A216" s="1732"/>
      <c r="B216" s="1732"/>
      <c r="C216" s="1732"/>
      <c r="D216" s="1732"/>
      <c r="E216" s="1732"/>
      <c r="F216" s="1732"/>
      <c r="G216" s="1732"/>
      <c r="H216" s="1732"/>
      <c r="I216" s="1732"/>
      <c r="J216" s="1732"/>
      <c r="K216" s="1732"/>
      <c r="L216" s="1732"/>
      <c r="M216" s="1732"/>
      <c r="N216" s="1732"/>
      <c r="O216" s="1732"/>
      <c r="P216" s="1732"/>
      <c r="Q216" s="1732"/>
      <c r="R216" s="1732"/>
      <c r="S216" s="1732"/>
      <c r="T216" s="1732"/>
      <c r="U216" s="1732"/>
      <c r="V216" s="1732"/>
    </row>
    <row r="217" spans="1:22" x14ac:dyDescent="0.25">
      <c r="A217" s="1732"/>
      <c r="B217" s="1732"/>
      <c r="C217" s="1732"/>
      <c r="D217" s="1732"/>
      <c r="E217" s="1732"/>
      <c r="F217" s="1732"/>
      <c r="G217" s="1732"/>
      <c r="H217" s="1732"/>
      <c r="I217" s="1732"/>
      <c r="J217" s="1732"/>
      <c r="K217" s="1732"/>
      <c r="L217" s="1732"/>
      <c r="M217" s="1732"/>
      <c r="N217" s="1732"/>
      <c r="O217" s="1732"/>
      <c r="P217" s="1732"/>
      <c r="Q217" s="1732"/>
      <c r="R217" s="1732"/>
      <c r="S217" s="1732"/>
      <c r="T217" s="1732"/>
      <c r="U217" s="1732"/>
      <c r="V217" s="1732"/>
    </row>
    <row r="218" spans="1:22" x14ac:dyDescent="0.25">
      <c r="A218" s="1732"/>
      <c r="B218" s="1732"/>
      <c r="C218" s="1732"/>
      <c r="D218" s="1732"/>
      <c r="E218" s="1732"/>
      <c r="F218" s="1732"/>
      <c r="G218" s="1732"/>
      <c r="H218" s="1732"/>
      <c r="I218" s="1732"/>
      <c r="J218" s="1732"/>
      <c r="K218" s="1732"/>
      <c r="L218" s="1732"/>
      <c r="M218" s="1732"/>
      <c r="N218" s="1732"/>
      <c r="O218" s="1732"/>
      <c r="P218" s="1732"/>
      <c r="Q218" s="1732"/>
      <c r="R218" s="1732"/>
      <c r="S218" s="1732"/>
      <c r="T218" s="1732"/>
      <c r="U218" s="1732"/>
      <c r="V218" s="1732"/>
    </row>
    <row r="219" spans="1:22" x14ac:dyDescent="0.25">
      <c r="A219" s="1732"/>
      <c r="B219" s="1732"/>
      <c r="C219" s="1732"/>
      <c r="D219" s="1732"/>
      <c r="E219" s="1732"/>
      <c r="F219" s="1732"/>
      <c r="G219" s="1732"/>
      <c r="H219" s="1732"/>
      <c r="I219" s="1732"/>
      <c r="J219" s="1732"/>
      <c r="K219" s="1732"/>
      <c r="L219" s="1732"/>
      <c r="M219" s="1732"/>
      <c r="N219" s="1732"/>
      <c r="O219" s="1732"/>
      <c r="P219" s="1732"/>
      <c r="Q219" s="1732"/>
      <c r="R219" s="1732"/>
      <c r="S219" s="1732"/>
      <c r="T219" s="1732"/>
      <c r="U219" s="1732"/>
      <c r="V219" s="1732"/>
    </row>
    <row r="220" spans="1:22" x14ac:dyDescent="0.25">
      <c r="A220" s="1732"/>
      <c r="B220" s="1732"/>
      <c r="C220" s="1732"/>
      <c r="D220" s="1732"/>
      <c r="E220" s="1732"/>
      <c r="F220" s="1732"/>
      <c r="G220" s="1732"/>
      <c r="H220" s="1732"/>
      <c r="I220" s="1732"/>
      <c r="J220" s="1732"/>
      <c r="K220" s="1732"/>
      <c r="L220" s="1732"/>
      <c r="M220" s="1732"/>
      <c r="N220" s="1732"/>
      <c r="O220" s="1732"/>
      <c r="P220" s="1732"/>
      <c r="Q220" s="1732"/>
      <c r="R220" s="1732"/>
      <c r="S220" s="1732"/>
      <c r="T220" s="1732"/>
      <c r="U220" s="1732"/>
      <c r="V220" s="1732"/>
    </row>
    <row r="221" spans="1:22" x14ac:dyDescent="0.25">
      <c r="A221" s="1732"/>
      <c r="B221" s="1732"/>
      <c r="C221" s="1732"/>
      <c r="D221" s="1732"/>
      <c r="E221" s="1732"/>
      <c r="F221" s="1732"/>
      <c r="G221" s="1732"/>
      <c r="H221" s="1732"/>
      <c r="I221" s="1732"/>
      <c r="J221" s="1732"/>
      <c r="K221" s="1732"/>
      <c r="L221" s="1732"/>
      <c r="M221" s="1732"/>
      <c r="N221" s="1732"/>
      <c r="O221" s="1732"/>
      <c r="P221" s="1732"/>
      <c r="Q221" s="1732"/>
      <c r="R221" s="1732"/>
      <c r="S221" s="1732"/>
      <c r="T221" s="1732"/>
      <c r="U221" s="1732"/>
      <c r="V221" s="1732"/>
    </row>
    <row r="222" spans="1:22" x14ac:dyDescent="0.25">
      <c r="A222" s="1732"/>
      <c r="B222" s="1732"/>
      <c r="C222" s="1732"/>
      <c r="D222" s="1732"/>
      <c r="E222" s="1732"/>
      <c r="F222" s="1732"/>
      <c r="G222" s="1732"/>
      <c r="H222" s="1732"/>
      <c r="I222" s="1732"/>
      <c r="J222" s="1732"/>
      <c r="K222" s="1732"/>
      <c r="L222" s="1732"/>
      <c r="M222" s="1732"/>
      <c r="N222" s="1732"/>
      <c r="O222" s="1732"/>
      <c r="P222" s="1732"/>
      <c r="Q222" s="1732"/>
      <c r="R222" s="1732"/>
      <c r="S222" s="1732"/>
      <c r="T222" s="1732"/>
      <c r="U222" s="1732"/>
      <c r="V222" s="1732"/>
    </row>
    <row r="223" spans="1:22" x14ac:dyDescent="0.25">
      <c r="A223" s="1732"/>
      <c r="B223" s="1732"/>
      <c r="C223" s="1732"/>
      <c r="D223" s="1732"/>
      <c r="E223" s="1732"/>
      <c r="F223" s="1732"/>
      <c r="G223" s="1732"/>
      <c r="H223" s="1732"/>
      <c r="I223" s="1732"/>
      <c r="J223" s="1732"/>
      <c r="K223" s="1732"/>
      <c r="L223" s="1732"/>
      <c r="M223" s="1732"/>
      <c r="N223" s="1732"/>
      <c r="O223" s="1732"/>
      <c r="P223" s="1732"/>
      <c r="Q223" s="1732"/>
      <c r="R223" s="1732"/>
      <c r="S223" s="1732"/>
      <c r="T223" s="1732"/>
      <c r="U223" s="1732"/>
      <c r="V223" s="1732"/>
    </row>
    <row r="224" spans="1:22" x14ac:dyDescent="0.25">
      <c r="A224" s="1732"/>
      <c r="B224" s="1732"/>
      <c r="C224" s="1732"/>
      <c r="D224" s="1732"/>
      <c r="E224" s="1732"/>
      <c r="F224" s="1732"/>
      <c r="G224" s="1732"/>
      <c r="H224" s="1732"/>
      <c r="I224" s="1732"/>
      <c r="J224" s="1732"/>
      <c r="K224" s="1732"/>
      <c r="L224" s="1732"/>
      <c r="M224" s="1732"/>
      <c r="N224" s="1732"/>
      <c r="O224" s="1732"/>
      <c r="P224" s="1732"/>
      <c r="Q224" s="1732"/>
      <c r="R224" s="1732"/>
      <c r="S224" s="1732"/>
      <c r="T224" s="1732"/>
      <c r="U224" s="1732"/>
      <c r="V224" s="1732"/>
    </row>
    <row r="225" spans="1:22" x14ac:dyDescent="0.25">
      <c r="A225" s="1732"/>
      <c r="B225" s="1732"/>
      <c r="C225" s="1732"/>
      <c r="D225" s="1732"/>
      <c r="E225" s="1732"/>
      <c r="F225" s="1732"/>
      <c r="G225" s="1732"/>
      <c r="H225" s="1732"/>
      <c r="I225" s="1732"/>
      <c r="J225" s="1732"/>
      <c r="K225" s="1732"/>
      <c r="L225" s="1732"/>
      <c r="M225" s="1732"/>
      <c r="N225" s="1732"/>
      <c r="O225" s="1732"/>
      <c r="P225" s="1732"/>
      <c r="Q225" s="1732"/>
      <c r="R225" s="1732"/>
      <c r="S225" s="1732"/>
      <c r="T225" s="1732"/>
      <c r="U225" s="1732"/>
      <c r="V225" s="1732"/>
    </row>
    <row r="226" spans="1:22" x14ac:dyDescent="0.25">
      <c r="A226" s="1732"/>
      <c r="B226" s="1732"/>
      <c r="C226" s="1732"/>
      <c r="D226" s="1732"/>
      <c r="E226" s="1732"/>
      <c r="F226" s="1732"/>
      <c r="G226" s="1732"/>
      <c r="H226" s="1732"/>
      <c r="I226" s="1732"/>
      <c r="J226" s="1732"/>
      <c r="K226" s="1732"/>
      <c r="L226" s="1732"/>
      <c r="M226" s="1732"/>
      <c r="N226" s="1732"/>
      <c r="O226" s="1732"/>
      <c r="P226" s="1732"/>
      <c r="Q226" s="1732"/>
      <c r="R226" s="1732"/>
      <c r="S226" s="1732"/>
      <c r="T226" s="1732"/>
      <c r="U226" s="1732"/>
      <c r="V226" s="1732"/>
    </row>
    <row r="227" spans="1:22" x14ac:dyDescent="0.25">
      <c r="A227" s="1732"/>
      <c r="B227" s="1732"/>
      <c r="C227" s="1732"/>
      <c r="D227" s="1732"/>
      <c r="E227" s="1732"/>
      <c r="F227" s="1732"/>
      <c r="G227" s="1732"/>
      <c r="H227" s="1732"/>
      <c r="I227" s="1732"/>
      <c r="J227" s="1732"/>
      <c r="K227" s="1732"/>
      <c r="L227" s="1732"/>
      <c r="M227" s="1732"/>
      <c r="N227" s="1732"/>
      <c r="O227" s="1732"/>
      <c r="P227" s="1732"/>
      <c r="Q227" s="1732"/>
      <c r="R227" s="1732"/>
      <c r="S227" s="1732"/>
      <c r="T227" s="1732"/>
      <c r="U227" s="1732"/>
      <c r="V227" s="1732"/>
    </row>
    <row r="228" spans="1:22" x14ac:dyDescent="0.25">
      <c r="A228" s="1732"/>
      <c r="B228" s="1732"/>
      <c r="C228" s="1732"/>
      <c r="D228" s="1732"/>
      <c r="E228" s="1732"/>
      <c r="F228" s="1732"/>
      <c r="G228" s="1732"/>
      <c r="H228" s="1732"/>
      <c r="I228" s="1732"/>
      <c r="J228" s="1732"/>
      <c r="K228" s="1732"/>
      <c r="L228" s="1732"/>
      <c r="M228" s="1732"/>
      <c r="N228" s="1732"/>
      <c r="O228" s="1732"/>
      <c r="P228" s="1732"/>
      <c r="Q228" s="1732"/>
      <c r="R228" s="1732"/>
      <c r="S228" s="1732"/>
      <c r="T228" s="1732"/>
      <c r="U228" s="1732"/>
      <c r="V228" s="1732"/>
    </row>
  </sheetData>
  <mergeCells count="36">
    <mergeCell ref="L10:O10"/>
    <mergeCell ref="D10:G10"/>
    <mergeCell ref="A2:O2"/>
    <mergeCell ref="D3:G3"/>
    <mergeCell ref="L3:O3"/>
    <mergeCell ref="L9:M9"/>
    <mergeCell ref="N9:O9"/>
    <mergeCell ref="D9:E9"/>
    <mergeCell ref="F9:G9"/>
    <mergeCell ref="D5:R5"/>
    <mergeCell ref="D4:O4"/>
    <mergeCell ref="D6:V6"/>
    <mergeCell ref="D8:U8"/>
    <mergeCell ref="D7:U7"/>
    <mergeCell ref="N11:O11"/>
    <mergeCell ref="G27:H27"/>
    <mergeCell ref="P185:R185"/>
    <mergeCell ref="F58:H58"/>
    <mergeCell ref="O43:R43"/>
    <mergeCell ref="P58:R58"/>
    <mergeCell ref="P74:R74"/>
    <mergeCell ref="L77:M77"/>
    <mergeCell ref="N77:O77"/>
    <mergeCell ref="D78:E78"/>
    <mergeCell ref="F78:G78"/>
    <mergeCell ref="L78:M78"/>
    <mergeCell ref="N78:O78"/>
    <mergeCell ref="F73:H73"/>
    <mergeCell ref="D77:E77"/>
    <mergeCell ref="F77:G77"/>
    <mergeCell ref="P203:R203"/>
    <mergeCell ref="P94:R94"/>
    <mergeCell ref="P114:R114"/>
    <mergeCell ref="P133:R133"/>
    <mergeCell ref="P150:R150"/>
    <mergeCell ref="P168:R168"/>
  </mergeCells>
  <pageMargins left="0.25" right="0.25" top="0.75" bottom="0.75" header="0.3" footer="0.3"/>
  <pageSetup paperSize="9"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33CC"/>
  </sheetPr>
  <dimension ref="A1:N52"/>
  <sheetViews>
    <sheetView zoomScaleNormal="100" workbookViewId="0">
      <selection activeCell="E7" sqref="E7"/>
    </sheetView>
  </sheetViews>
  <sheetFormatPr baseColWidth="10" defaultRowHeight="15.6" x14ac:dyDescent="0.3"/>
  <cols>
    <col min="1" max="1" width="1.33203125" customWidth="1"/>
    <col min="2" max="2" width="4.6640625" style="141" customWidth="1"/>
    <col min="3" max="3" width="2.88671875" style="141" customWidth="1"/>
    <col min="4" max="4" width="35.88671875" customWidth="1"/>
    <col min="5" max="5" width="14.6640625" style="5" customWidth="1"/>
    <col min="6" max="6" width="14.5546875" style="5" customWidth="1"/>
    <col min="7" max="8" width="3.44140625" style="141" customWidth="1"/>
    <col min="9" max="9" width="3.44140625" style="142" customWidth="1"/>
    <col min="10" max="10" width="4.88671875" style="59" customWidth="1"/>
    <col min="11" max="11" width="33.33203125" customWidth="1"/>
    <col min="12" max="12" width="15.6640625" style="487" customWidth="1"/>
    <col min="13" max="13" width="13.33203125" style="5" customWidth="1"/>
  </cols>
  <sheetData>
    <row r="1" spans="1:14" x14ac:dyDescent="0.3">
      <c r="A1" s="141"/>
    </row>
    <row r="2" spans="1:14" ht="21" x14ac:dyDescent="0.4">
      <c r="D2" s="4192" t="s">
        <v>1692</v>
      </c>
      <c r="E2" s="4192"/>
      <c r="F2" s="4192"/>
      <c r="G2" s="4192"/>
      <c r="H2" s="4192"/>
      <c r="I2" s="4192"/>
      <c r="J2" s="4192"/>
      <c r="K2" s="4192"/>
      <c r="L2" s="4192"/>
    </row>
    <row r="3" spans="1:14" x14ac:dyDescent="0.3">
      <c r="B3" s="4190" t="s">
        <v>1556</v>
      </c>
      <c r="C3" s="4190"/>
      <c r="D3" s="4190"/>
      <c r="E3" s="4190"/>
      <c r="F3" s="496"/>
      <c r="G3" s="410"/>
      <c r="H3" s="410"/>
      <c r="I3" s="1863"/>
      <c r="J3" s="3889"/>
      <c r="K3" s="3889"/>
      <c r="L3" s="1848" t="s">
        <v>1</v>
      </c>
    </row>
    <row r="4" spans="1:14" ht="18" thickBot="1" x14ac:dyDescent="0.35">
      <c r="B4" s="4193" t="s">
        <v>1693</v>
      </c>
      <c r="C4" s="4193"/>
      <c r="D4" s="4193"/>
      <c r="E4" s="488" t="s">
        <v>1</v>
      </c>
      <c r="F4" s="498" t="s">
        <v>1886</v>
      </c>
      <c r="G4" s="498"/>
      <c r="H4" s="498"/>
      <c r="I4" s="2092"/>
      <c r="K4" s="408" t="s">
        <v>1694</v>
      </c>
      <c r="L4" s="488"/>
      <c r="M4" s="4187" t="s">
        <v>1886</v>
      </c>
      <c r="N4" s="4187"/>
    </row>
    <row r="5" spans="1:14" ht="17.399999999999999" x14ac:dyDescent="0.3">
      <c r="B5" s="36" t="s">
        <v>1695</v>
      </c>
      <c r="C5" s="4194" t="s">
        <v>2170</v>
      </c>
      <c r="D5" s="4194"/>
      <c r="E5" s="2646">
        <f>SUM(E6,E9,E12)</f>
        <v>80000</v>
      </c>
      <c r="J5" s="59" t="s">
        <v>1704</v>
      </c>
      <c r="K5" s="3" t="s">
        <v>225</v>
      </c>
      <c r="L5" s="1856">
        <f>'Gr liv ACT-PAS'!R9</f>
        <v>138600</v>
      </c>
      <c r="M5" s="491">
        <f>'Bal des comptes'!G9</f>
        <v>138600</v>
      </c>
    </row>
    <row r="6" spans="1:14" x14ac:dyDescent="0.3">
      <c r="B6" s="1067"/>
      <c r="C6" s="1068" t="s">
        <v>39</v>
      </c>
      <c r="D6" s="413" t="s">
        <v>1548</v>
      </c>
      <c r="E6" s="1063">
        <f>SUM(E7:E8)</f>
        <v>75000</v>
      </c>
      <c r="K6" s="3"/>
      <c r="L6" s="492"/>
    </row>
    <row r="7" spans="1:14" s="141" customFormat="1" x14ac:dyDescent="0.3">
      <c r="B7" s="4190">
        <v>2131</v>
      </c>
      <c r="C7" s="4190"/>
      <c r="D7" s="141" t="s">
        <v>2163</v>
      </c>
      <c r="E7" s="1723">
        <f>'VAL-INIT'!F12</f>
        <v>75000</v>
      </c>
      <c r="F7" s="491">
        <f>'Bal des comptes'!F15</f>
        <v>75000</v>
      </c>
      <c r="I7" s="142"/>
      <c r="J7" s="59"/>
      <c r="K7" s="3"/>
      <c r="L7" s="492"/>
      <c r="M7" s="5"/>
    </row>
    <row r="8" spans="1:14" ht="16.2" thickBot="1" x14ac:dyDescent="0.35">
      <c r="A8" s="407"/>
      <c r="B8" s="4196">
        <v>2200</v>
      </c>
      <c r="C8" s="4196"/>
      <c r="D8" s="407" t="s">
        <v>2169</v>
      </c>
      <c r="E8" s="1723">
        <f>'VAL-INIT'!F13</f>
        <v>0</v>
      </c>
      <c r="F8" s="1055"/>
      <c r="G8" s="407"/>
      <c r="H8" s="407"/>
      <c r="I8" s="1056"/>
      <c r="K8" s="3"/>
      <c r="L8" s="492"/>
      <c r="N8" s="141"/>
    </row>
    <row r="9" spans="1:14" s="141" customFormat="1" x14ac:dyDescent="0.3">
      <c r="A9"/>
      <c r="C9" s="413" t="s">
        <v>40</v>
      </c>
      <c r="D9" s="413" t="s">
        <v>1696</v>
      </c>
      <c r="E9" s="1064">
        <f>SUM(E10:E11)</f>
        <v>0</v>
      </c>
      <c r="F9" s="491"/>
      <c r="G9" s="47"/>
      <c r="H9" s="47"/>
      <c r="I9" s="2093"/>
      <c r="J9" s="59" t="s">
        <v>1705</v>
      </c>
      <c r="K9" s="3" t="s">
        <v>1706</v>
      </c>
      <c r="L9" s="492"/>
      <c r="M9" s="5"/>
      <c r="N9"/>
    </row>
    <row r="10" spans="1:14" s="141" customFormat="1" x14ac:dyDescent="0.3">
      <c r="D10" s="141" t="s">
        <v>1697</v>
      </c>
      <c r="E10" s="497"/>
      <c r="F10" s="495">
        <f>'Gr liv ACT-PAS'!C53</f>
        <v>0</v>
      </c>
      <c r="G10" s="409"/>
      <c r="H10" s="409"/>
      <c r="I10" s="2094"/>
      <c r="J10" s="59"/>
      <c r="K10" s="540" t="s">
        <v>1711</v>
      </c>
      <c r="L10" s="492"/>
      <c r="M10" s="491" t="e">
        <f>'Gr liv ACT-PAS'!M238</f>
        <v>#VALUE!</v>
      </c>
    </row>
    <row r="11" spans="1:14" ht="16.2" thickBot="1" x14ac:dyDescent="0.35">
      <c r="A11" s="407"/>
      <c r="B11" s="407"/>
      <c r="C11" s="407"/>
      <c r="D11" s="407"/>
      <c r="E11" s="1054"/>
      <c r="F11" s="1057"/>
      <c r="G11" s="1058"/>
      <c r="H11" s="1058"/>
      <c r="I11" s="1059"/>
      <c r="K11" s="540"/>
      <c r="L11" s="492"/>
      <c r="M11" s="491"/>
      <c r="N11" s="141"/>
    </row>
    <row r="12" spans="1:14" x14ac:dyDescent="0.3">
      <c r="C12" s="92" t="s">
        <v>52</v>
      </c>
      <c r="D12" s="1721" t="s">
        <v>2157</v>
      </c>
      <c r="E12" s="1063">
        <f>SUM(E13:E18)</f>
        <v>5000</v>
      </c>
      <c r="F12" s="491"/>
      <c r="G12" s="47"/>
      <c r="H12" s="47"/>
      <c r="I12" s="2093"/>
      <c r="K12" s="3"/>
      <c r="L12" s="492"/>
    </row>
    <row r="13" spans="1:14" x14ac:dyDescent="0.3">
      <c r="D13" s="141" t="s">
        <v>1698</v>
      </c>
      <c r="E13" s="1053"/>
      <c r="F13" s="491">
        <f>'Gr liv ACT-PAS'!C76</f>
        <v>0</v>
      </c>
      <c r="G13" s="47"/>
      <c r="H13" s="47"/>
      <c r="I13" s="2093"/>
      <c r="K13" s="3"/>
      <c r="L13" s="492"/>
    </row>
    <row r="14" spans="1:14" x14ac:dyDescent="0.3">
      <c r="A14" s="7"/>
      <c r="B14" s="7">
        <v>231</v>
      </c>
      <c r="C14" s="7"/>
      <c r="D14" s="1724" t="s">
        <v>166</v>
      </c>
      <c r="E14" s="1722"/>
      <c r="F14" s="491" t="e">
        <f>'Bal des comptes'!#REF!</f>
        <v>#REF!</v>
      </c>
      <c r="G14" s="7"/>
      <c r="H14" s="7"/>
      <c r="I14" s="1725"/>
      <c r="K14" s="3"/>
      <c r="L14" s="492"/>
    </row>
    <row r="15" spans="1:14" ht="18" thickBot="1" x14ac:dyDescent="0.35">
      <c r="A15" s="3"/>
      <c r="B15" s="3">
        <v>237</v>
      </c>
      <c r="C15" s="3"/>
      <c r="D15" s="1715" t="s">
        <v>14</v>
      </c>
      <c r="E15" s="1716"/>
      <c r="F15" s="6"/>
      <c r="G15" s="3"/>
      <c r="H15" s="3"/>
      <c r="J15" s="2095"/>
      <c r="K15" s="411" t="s">
        <v>1473</v>
      </c>
      <c r="L15" s="492"/>
      <c r="M15" s="489"/>
    </row>
    <row r="16" spans="1:14" ht="16.2" thickBot="1" x14ac:dyDescent="0.35">
      <c r="A16" s="3"/>
      <c r="B16" s="1065">
        <v>240</v>
      </c>
      <c r="C16" s="3"/>
      <c r="D16" s="1715" t="s">
        <v>167</v>
      </c>
      <c r="E16" s="1717">
        <f>'VAL-INIT'!F23</f>
        <v>5000</v>
      </c>
      <c r="F16" s="491">
        <f>'Bal des comptes'!F17</f>
        <v>3500</v>
      </c>
      <c r="G16" s="3"/>
      <c r="H16" s="3"/>
      <c r="J16" s="2647" t="s">
        <v>1700</v>
      </c>
      <c r="K16" s="1852" t="s">
        <v>1707</v>
      </c>
      <c r="L16" s="1860">
        <f>SUM(L17,L21)</f>
        <v>0</v>
      </c>
      <c r="M16" s="491">
        <f>'Bal des comptes'!G13</f>
        <v>0</v>
      </c>
    </row>
    <row r="17" spans="1:14" s="141" customFormat="1" ht="16.2" thickBot="1" x14ac:dyDescent="0.35">
      <c r="A17" s="57"/>
      <c r="B17" s="2617"/>
      <c r="C17" s="3"/>
      <c r="D17" s="1719" t="s">
        <v>1698</v>
      </c>
      <c r="E17" s="2177">
        <f>'VAL-INIT'!F26</f>
        <v>0</v>
      </c>
      <c r="F17" s="491"/>
      <c r="G17" s="3"/>
      <c r="H17" s="3"/>
      <c r="I17" s="142"/>
      <c r="J17" s="2180" t="s">
        <v>39</v>
      </c>
      <c r="K17" s="1852" t="s">
        <v>1708</v>
      </c>
      <c r="L17" s="1861">
        <f>'VAL-INIT'!L30</f>
        <v>0</v>
      </c>
      <c r="M17" s="491"/>
      <c r="N17"/>
    </row>
    <row r="18" spans="1:14" ht="16.8" thickTop="1" thickBot="1" x14ac:dyDescent="0.35">
      <c r="B18" s="1718">
        <v>2410</v>
      </c>
      <c r="C18" s="57"/>
      <c r="D18" s="1719" t="s">
        <v>1698</v>
      </c>
      <c r="E18" s="2177">
        <f>'VAL-INIT'!F25</f>
        <v>0</v>
      </c>
      <c r="F18" s="494"/>
      <c r="G18" s="57"/>
      <c r="H18" s="57"/>
      <c r="I18" s="1060"/>
      <c r="J18" s="2097" t="s">
        <v>1445</v>
      </c>
      <c r="K18" s="1849" t="s">
        <v>1469</v>
      </c>
      <c r="M18" s="1849"/>
      <c r="N18" s="141"/>
    </row>
    <row r="19" spans="1:14" ht="18.600000000000001" thickTop="1" thickBot="1" x14ac:dyDescent="0.35">
      <c r="A19" s="141"/>
      <c r="B19" s="4193" t="s">
        <v>1699</v>
      </c>
      <c r="C19" s="4193"/>
      <c r="D19" s="4193"/>
      <c r="E19" s="2645">
        <f>SUM(E20,E25,E28,E35)</f>
        <v>58600</v>
      </c>
      <c r="F19" s="493"/>
      <c r="G19" s="412"/>
      <c r="H19" s="412"/>
      <c r="I19" s="2096"/>
      <c r="J19" s="2097" t="s">
        <v>1442</v>
      </c>
      <c r="K19" s="1849" t="s">
        <v>1468</v>
      </c>
      <c r="L19" s="1855"/>
      <c r="M19" s="1849"/>
    </row>
    <row r="20" spans="1:14" s="141" customFormat="1" ht="16.2" thickBot="1" x14ac:dyDescent="0.35">
      <c r="A20" s="2356" t="s">
        <v>1705</v>
      </c>
      <c r="B20" s="2296">
        <v>290</v>
      </c>
      <c r="C20" s="2305" t="s">
        <v>2296</v>
      </c>
      <c r="D20" s="1721"/>
      <c r="E20" s="2366">
        <f>SUM(E21:E22)</f>
        <v>6750</v>
      </c>
      <c r="F20" s="492"/>
      <c r="G20" s="412"/>
      <c r="H20" s="412"/>
      <c r="I20" s="2096"/>
      <c r="J20" s="2097" t="s">
        <v>1465</v>
      </c>
      <c r="K20" s="1849" t="s">
        <v>2177</v>
      </c>
      <c r="L20" s="1859"/>
      <c r="M20" s="491">
        <f>'Bal des comptes'!G25</f>
        <v>0</v>
      </c>
      <c r="N20"/>
    </row>
    <row r="21" spans="1:14" ht="16.8" thickTop="1" thickBot="1" x14ac:dyDescent="0.35">
      <c r="A21" s="2226" t="s">
        <v>39</v>
      </c>
      <c r="B21" s="2119">
        <v>2900</v>
      </c>
      <c r="C21" s="2432" t="s">
        <v>2221</v>
      </c>
      <c r="D21" s="2173"/>
      <c r="E21" s="2433"/>
      <c r="F21" s="491"/>
      <c r="G21" s="47"/>
      <c r="H21" s="47"/>
      <c r="I21" s="2093"/>
      <c r="J21" s="2180" t="s">
        <v>40</v>
      </c>
      <c r="K21" s="1853" t="s">
        <v>1452</v>
      </c>
      <c r="L21" s="1862">
        <f>'VAL-INIT'!L36</f>
        <v>0</v>
      </c>
      <c r="M21" s="1849"/>
      <c r="N21" s="141"/>
    </row>
    <row r="22" spans="1:14" x14ac:dyDescent="0.3">
      <c r="A22" s="2226"/>
      <c r="B22" s="2119">
        <v>2906</v>
      </c>
      <c r="C22" s="2432" t="s">
        <v>1513</v>
      </c>
      <c r="D22" s="2446" t="s">
        <v>2283</v>
      </c>
      <c r="E22" s="2434">
        <v>6750</v>
      </c>
      <c r="F22" s="491">
        <f>'Bal des comptes'!F19</f>
        <v>5000</v>
      </c>
      <c r="J22" s="2097">
        <v>1</v>
      </c>
      <c r="K22" s="1849" t="s">
        <v>1776</v>
      </c>
      <c r="M22" s="1849"/>
    </row>
    <row r="23" spans="1:14" ht="16.2" thickBot="1" x14ac:dyDescent="0.35">
      <c r="A23" s="2271"/>
      <c r="B23" s="2272"/>
      <c r="C23" s="2273"/>
      <c r="D23" s="2273"/>
      <c r="E23" s="2274"/>
      <c r="F23" s="489"/>
      <c r="G23" s="407"/>
      <c r="H23" s="407"/>
      <c r="I23" s="1056"/>
      <c r="J23" s="2649"/>
      <c r="K23" s="2650"/>
      <c r="L23" s="1054"/>
      <c r="M23" s="2650"/>
    </row>
    <row r="24" spans="1:14" s="141" customFormat="1" ht="18.600000000000001" thickTop="1" thickBot="1" x14ac:dyDescent="0.35">
      <c r="B24" s="1720"/>
      <c r="C24" s="1720"/>
      <c r="D24" s="1720"/>
      <c r="E24" s="492"/>
      <c r="F24" s="5"/>
      <c r="I24" s="142"/>
      <c r="J24" s="2647" t="s">
        <v>1702</v>
      </c>
      <c r="K24" s="1851" t="s">
        <v>2213</v>
      </c>
      <c r="L24" s="2178">
        <f>SUM(L25,L26,L29,L32,L34,L36)</f>
        <v>5750</v>
      </c>
      <c r="M24" s="208"/>
      <c r="N24"/>
    </row>
    <row r="25" spans="1:14" ht="18" thickBot="1" x14ac:dyDescent="0.35">
      <c r="A25" s="141"/>
      <c r="B25" s="36" t="s">
        <v>1643</v>
      </c>
      <c r="C25" s="4189" t="s">
        <v>170</v>
      </c>
      <c r="D25" s="4189"/>
      <c r="E25" s="1727">
        <f>SUM(E26)</f>
        <v>15000</v>
      </c>
      <c r="F25" s="495">
        <f>'Gr liv ACT-PAS'!M114</f>
        <v>6250</v>
      </c>
      <c r="G25" s="409"/>
      <c r="H25" s="4195"/>
      <c r="I25" s="4195"/>
      <c r="J25" s="59" t="s">
        <v>39</v>
      </c>
      <c r="K25" s="207" t="s">
        <v>2319</v>
      </c>
      <c r="L25" s="1862">
        <f>'VAL-INIT'!L44</f>
        <v>0</v>
      </c>
      <c r="M25" s="1850"/>
      <c r="N25" s="141"/>
    </row>
    <row r="26" spans="1:14" ht="16.2" thickBot="1" x14ac:dyDescent="0.35">
      <c r="A26" s="407"/>
      <c r="D26" s="141" t="s">
        <v>2159</v>
      </c>
      <c r="E26" s="1053">
        <f>'VAL-INIT'!F59</f>
        <v>15000</v>
      </c>
      <c r="F26" s="495"/>
      <c r="G26" s="409"/>
      <c r="H26" s="595"/>
      <c r="I26" s="1865"/>
      <c r="J26" s="2180" t="s">
        <v>40</v>
      </c>
      <c r="K26" s="1854" t="s">
        <v>1457</v>
      </c>
      <c r="L26" s="1862">
        <f>'VAL-INIT'!L46</f>
        <v>0</v>
      </c>
      <c r="M26" s="491">
        <f>'Bal des comptes'!G12</f>
        <v>0</v>
      </c>
    </row>
    <row r="27" spans="1:14" ht="16.2" thickBot="1" x14ac:dyDescent="0.35">
      <c r="A27" s="141"/>
      <c r="B27" s="407"/>
      <c r="C27" s="407"/>
      <c r="D27" s="407"/>
      <c r="E27" s="1061"/>
      <c r="F27" s="495"/>
      <c r="G27" s="409"/>
      <c r="H27" s="415"/>
      <c r="I27" s="1865"/>
      <c r="J27" s="59">
        <v>1</v>
      </c>
      <c r="K27" s="207" t="s">
        <v>2180</v>
      </c>
      <c r="L27" s="1858"/>
      <c r="N27" s="141"/>
    </row>
    <row r="28" spans="1:14" s="141" customFormat="1" ht="16.2" thickBot="1" x14ac:dyDescent="0.35">
      <c r="A28"/>
      <c r="B28" s="141" t="s">
        <v>1710</v>
      </c>
      <c r="D28" s="92" t="s">
        <v>1701</v>
      </c>
      <c r="E28" s="1726">
        <f>SUM(E29,E30,E32)</f>
        <v>6250</v>
      </c>
      <c r="F28" s="495"/>
      <c r="G28" s="409"/>
      <c r="H28" s="2684"/>
      <c r="I28" s="2846"/>
      <c r="J28" s="59">
        <v>2</v>
      </c>
      <c r="K28" s="207" t="s">
        <v>2178</v>
      </c>
      <c r="L28" s="1857"/>
      <c r="M28" s="1849"/>
    </row>
    <row r="29" spans="1:14" ht="16.2" thickBot="1" x14ac:dyDescent="0.35">
      <c r="A29" s="141"/>
      <c r="C29" s="141" t="s">
        <v>39</v>
      </c>
      <c r="D29" s="141" t="s">
        <v>1514</v>
      </c>
      <c r="E29" s="497">
        <f>'VAL-INIT'!F67</f>
        <v>6250</v>
      </c>
      <c r="F29" s="495"/>
      <c r="G29" s="409"/>
      <c r="H29" s="2684"/>
      <c r="I29" s="2846"/>
      <c r="J29" s="2180" t="s">
        <v>52</v>
      </c>
      <c r="K29" s="1853" t="s">
        <v>2179</v>
      </c>
      <c r="L29" s="1862">
        <f>'VAL-INIT'!L51</f>
        <v>5750</v>
      </c>
      <c r="M29" s="3"/>
      <c r="N29" s="141"/>
    </row>
    <row r="30" spans="1:14" x14ac:dyDescent="0.3">
      <c r="D30" s="1051" t="s">
        <v>2161</v>
      </c>
      <c r="E30" s="1053"/>
      <c r="F30" s="495"/>
      <c r="G30" s="409"/>
      <c r="H30" s="2684"/>
      <c r="I30" s="2846"/>
      <c r="J30" s="59">
        <v>1</v>
      </c>
      <c r="K30" s="207" t="s">
        <v>1776</v>
      </c>
      <c r="L30" s="1858"/>
      <c r="M30" s="491">
        <f>'Bal des comptes'!G35</f>
        <v>0</v>
      </c>
      <c r="N30" s="141"/>
    </row>
    <row r="31" spans="1:14" ht="18" x14ac:dyDescent="0.35">
      <c r="D31" s="594" t="s">
        <v>1718</v>
      </c>
      <c r="E31" s="497"/>
      <c r="F31" s="491"/>
      <c r="G31" s="47"/>
      <c r="H31" s="4188"/>
      <c r="I31" s="4188"/>
      <c r="J31" s="2098">
        <v>2</v>
      </c>
      <c r="K31" s="3"/>
      <c r="L31" s="1858"/>
      <c r="N31" s="141"/>
    </row>
    <row r="32" spans="1:14" x14ac:dyDescent="0.3">
      <c r="C32" s="141" t="s">
        <v>40</v>
      </c>
      <c r="D32" s="141" t="s">
        <v>1717</v>
      </c>
      <c r="J32" s="2180" t="s">
        <v>56</v>
      </c>
      <c r="K32" s="3" t="s">
        <v>2320</v>
      </c>
      <c r="L32" s="490">
        <f>'VAL-INIT'!L55</f>
        <v>0</v>
      </c>
      <c r="M32" s="491">
        <f>'Bal des comptes'!G10</f>
        <v>0</v>
      </c>
    </row>
    <row r="33" spans="1:14" ht="16.2" thickBot="1" x14ac:dyDescent="0.35">
      <c r="A33" s="407"/>
      <c r="D33" s="593" t="s">
        <v>1953</v>
      </c>
      <c r="K33" s="416" t="s">
        <v>1669</v>
      </c>
      <c r="L33" s="490"/>
      <c r="M33" s="491"/>
      <c r="N33" s="141"/>
    </row>
    <row r="34" spans="1:14" ht="16.2" thickBot="1" x14ac:dyDescent="0.35">
      <c r="B34" s="407"/>
      <c r="C34" s="407"/>
      <c r="D34" s="1062"/>
      <c r="E34" s="489"/>
      <c r="J34" s="2180" t="s">
        <v>59</v>
      </c>
      <c r="K34" s="3" t="s">
        <v>1709</v>
      </c>
      <c r="L34" s="490">
        <f>'VAL-INIT'!L57</f>
        <v>0</v>
      </c>
      <c r="M34" s="491">
        <f>'Gr liv ACT-PAS'!AC151</f>
        <v>0</v>
      </c>
    </row>
    <row r="35" spans="1:14" ht="18" x14ac:dyDescent="0.35">
      <c r="B35" s="141" t="s">
        <v>1702</v>
      </c>
      <c r="D35" s="141" t="s">
        <v>1703</v>
      </c>
      <c r="E35" s="1727">
        <f>SUM(E36,E38,E40)</f>
        <v>30600</v>
      </c>
      <c r="K35" s="592" t="s">
        <v>1721</v>
      </c>
      <c r="L35" s="490"/>
      <c r="M35" s="491"/>
    </row>
    <row r="36" spans="1:14" x14ac:dyDescent="0.3">
      <c r="D36" s="141" t="s">
        <v>169</v>
      </c>
      <c r="E36" s="1053">
        <f>'VAL-INIT'!F78</f>
        <v>25000</v>
      </c>
      <c r="F36" s="491">
        <f>'Bal des comptes'!F26</f>
        <v>25000</v>
      </c>
      <c r="G36" s="47"/>
      <c r="H36" s="47"/>
      <c r="I36" s="2093"/>
      <c r="J36" s="2180" t="s">
        <v>64</v>
      </c>
      <c r="L36" s="490">
        <f>'VAL-INIT'!L60</f>
        <v>0</v>
      </c>
      <c r="M36" s="491">
        <f>'Gr liv ACT-PAS'!Y193</f>
        <v>0</v>
      </c>
    </row>
    <row r="37" spans="1:14" x14ac:dyDescent="0.3">
      <c r="A37" s="141"/>
      <c r="D37" s="141"/>
      <c r="E37" s="497"/>
      <c r="F37" s="491"/>
      <c r="G37" s="47"/>
      <c r="H37" s="47"/>
      <c r="I37" s="2093"/>
      <c r="K37" s="591" t="s">
        <v>1720</v>
      </c>
      <c r="L37" s="492"/>
      <c r="M37" s="491"/>
    </row>
    <row r="38" spans="1:14" x14ac:dyDescent="0.3">
      <c r="D38" s="141" t="s">
        <v>1627</v>
      </c>
      <c r="E38" s="1053">
        <f>'VAL-INIT'!F82</f>
        <v>4800</v>
      </c>
      <c r="F38" s="491" t="e">
        <f>'Gr liv ACT-PAS'!O156</f>
        <v>#REF!</v>
      </c>
      <c r="G38" s="47"/>
      <c r="H38" s="47"/>
      <c r="I38" s="2093"/>
      <c r="K38" s="1864" t="s">
        <v>1</v>
      </c>
      <c r="L38" s="2088">
        <f>SUM(L16,L24,L5)</f>
        <v>144350</v>
      </c>
      <c r="M38" s="2089">
        <f>SUM(M5,M16,M26)</f>
        <v>138600</v>
      </c>
    </row>
    <row r="39" spans="1:14" ht="20.399999999999999" x14ac:dyDescent="0.3">
      <c r="D39" s="141"/>
      <c r="E39" s="497"/>
      <c r="F39" s="491"/>
      <c r="G39" s="47"/>
      <c r="H39" s="47"/>
      <c r="I39" s="2093"/>
      <c r="J39" s="2153"/>
      <c r="K39" s="3"/>
      <c r="L39" s="492"/>
    </row>
    <row r="40" spans="1:14" ht="15.6" customHeight="1" x14ac:dyDescent="0.3">
      <c r="D40" s="141" t="s">
        <v>1647</v>
      </c>
      <c r="E40" s="1053">
        <f>'VAL-INIT'!F84</f>
        <v>800</v>
      </c>
      <c r="F40" s="491">
        <f>'Bal des comptes'!F28</f>
        <v>900</v>
      </c>
      <c r="G40" s="47"/>
      <c r="H40" s="47"/>
      <c r="I40" s="2093"/>
      <c r="J40" s="2100"/>
      <c r="K40" s="1066"/>
    </row>
    <row r="41" spans="1:14" ht="15.6" customHeight="1" thickBot="1" x14ac:dyDescent="0.35">
      <c r="A41" s="57"/>
      <c r="D41" s="141"/>
      <c r="E41" s="497"/>
      <c r="F41" s="491"/>
      <c r="G41" s="47"/>
      <c r="H41" s="47"/>
      <c r="I41" s="2093"/>
    </row>
    <row r="42" spans="1:14" ht="16.8" thickTop="1" thickBot="1" x14ac:dyDescent="0.35">
      <c r="B42" s="57"/>
      <c r="C42" s="57"/>
      <c r="D42" s="57"/>
      <c r="E42" s="494"/>
      <c r="F42" s="494"/>
      <c r="G42" s="57"/>
      <c r="H42" s="57"/>
      <c r="I42" s="1060"/>
    </row>
    <row r="43" spans="1:14" ht="16.2" thickTop="1" x14ac:dyDescent="0.3">
      <c r="D43" s="1864" t="s">
        <v>1</v>
      </c>
      <c r="E43" s="2087">
        <f>SUM(E5,E19)</f>
        <v>138600</v>
      </c>
      <c r="F43" s="495"/>
      <c r="G43" s="326"/>
      <c r="H43" s="326"/>
      <c r="I43" s="2099"/>
    </row>
    <row r="44" spans="1:14" x14ac:dyDescent="0.3">
      <c r="B44" s="4191" t="s">
        <v>1719</v>
      </c>
      <c r="C44" s="4191"/>
      <c r="D44" s="4191"/>
    </row>
    <row r="45" spans="1:14" ht="20.399999999999999" x14ac:dyDescent="0.3">
      <c r="E45" s="2153" t="s">
        <v>2075</v>
      </c>
      <c r="F45" s="2153"/>
      <c r="G45" s="2153"/>
      <c r="H45" s="2153"/>
      <c r="I45" s="2153"/>
      <c r="J45" s="2102"/>
      <c r="K45" s="2090"/>
    </row>
    <row r="46" spans="1:14" ht="20.399999999999999" x14ac:dyDescent="0.3">
      <c r="J46" s="2102"/>
      <c r="K46" s="2090"/>
    </row>
    <row r="49" spans="5:9" x14ac:dyDescent="0.3">
      <c r="E49" s="2091"/>
      <c r="F49" s="2091"/>
      <c r="G49" s="315"/>
      <c r="H49" s="315"/>
      <c r="I49" s="1725"/>
    </row>
    <row r="50" spans="5:9" ht="20.399999999999999" x14ac:dyDescent="0.3">
      <c r="E50" s="2091"/>
      <c r="F50" s="2090"/>
      <c r="G50" s="2090"/>
      <c r="H50" s="2090"/>
      <c r="I50" s="2101"/>
    </row>
    <row r="51" spans="5:9" ht="20.399999999999999" x14ac:dyDescent="0.3">
      <c r="E51" s="2090"/>
      <c r="F51" s="2090"/>
      <c r="G51" s="2090"/>
      <c r="H51" s="2090"/>
      <c r="I51" s="2101"/>
    </row>
    <row r="52" spans="5:9" x14ac:dyDescent="0.3">
      <c r="E52" s="2091"/>
      <c r="F52" s="2091"/>
      <c r="G52" s="315"/>
      <c r="H52" s="315"/>
      <c r="I52" s="1725"/>
    </row>
  </sheetData>
  <mergeCells count="13">
    <mergeCell ref="D2:L2"/>
    <mergeCell ref="B4:D4"/>
    <mergeCell ref="B19:D19"/>
    <mergeCell ref="C5:D5"/>
    <mergeCell ref="H25:I25"/>
    <mergeCell ref="B7:C7"/>
    <mergeCell ref="B8:C8"/>
    <mergeCell ref="J3:K3"/>
    <mergeCell ref="M4:N4"/>
    <mergeCell ref="H31:I31"/>
    <mergeCell ref="C25:D25"/>
    <mergeCell ref="B3:E3"/>
    <mergeCell ref="B44:D44"/>
  </mergeCells>
  <conditionalFormatting sqref="E45 J45:K46 F50:I51 E51">
    <cfRule type="expression" dxfId="6" priority="7">
      <formula>"$E$28=$O$28"</formula>
    </cfRule>
  </conditionalFormatting>
  <conditionalFormatting sqref="F44">
    <cfRule type="colorScale" priority="6">
      <colorScale>
        <cfvo type="formula" val="&quot;$E$28=$O$28&quot;"/>
        <cfvo type="formula" val="&quot;$E$28&lt;&gt;$O$28&quot;"/>
        <color rgb="FF92D050"/>
        <color rgb="FFFF0000"/>
      </colorScale>
    </cfRule>
  </conditionalFormatting>
  <conditionalFormatting sqref="J40:K40">
    <cfRule type="colorScale" priority="1">
      <colorScale>
        <cfvo type="num" val="&quot;0+$E$28&quot;"/>
        <cfvo type="num" val="&quot;0+$O$28&quot;"/>
        <color rgb="FF99FF33"/>
        <color rgb="FFFF000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BA408"/>
  <sheetViews>
    <sheetView topLeftCell="A139" zoomScale="85" zoomScaleNormal="85" workbookViewId="0">
      <selection activeCell="L56" sqref="L56"/>
    </sheetView>
  </sheetViews>
  <sheetFormatPr baseColWidth="10" defaultColWidth="11.44140625" defaultRowHeight="13.8" x14ac:dyDescent="0.25"/>
  <cols>
    <col min="1" max="1" width="3.6640625" style="1087" customWidth="1"/>
    <col min="2" max="2" width="4" style="1087" customWidth="1"/>
    <col min="3" max="3" width="16.109375" style="1087" customWidth="1"/>
    <col min="4" max="4" width="15.5546875" style="1087" customWidth="1"/>
    <col min="5" max="5" width="3.5546875" style="1087" customWidth="1"/>
    <col min="6" max="6" width="2.88671875" style="1087" customWidth="1"/>
    <col min="7" max="7" width="4.6640625" style="1087" customWidth="1"/>
    <col min="8" max="8" width="15" style="1087" customWidth="1"/>
    <col min="9" max="9" width="16.44140625" style="2686" customWidth="1"/>
    <col min="10" max="10" width="4.33203125" style="1087" customWidth="1"/>
    <col min="11" max="11" width="4.44140625" style="1087" customWidth="1"/>
    <col min="12" max="12" width="4.88671875" style="1081" customWidth="1"/>
    <col min="13" max="14" width="15.44140625" style="1087" customWidth="1"/>
    <col min="15" max="15" width="5.5546875" style="1087" customWidth="1"/>
    <col min="16" max="16" width="5.6640625" style="1087" customWidth="1"/>
    <col min="17" max="17" width="17.88671875" style="1087" customWidth="1"/>
    <col min="18" max="18" width="21.33203125" style="1087" customWidth="1"/>
    <col min="19" max="19" width="18.33203125" style="1136" customWidth="1"/>
    <col min="20" max="20" width="16.33203125" style="1087" customWidth="1"/>
    <col min="21" max="21" width="3" style="1087" customWidth="1"/>
    <col min="22" max="22" width="3.33203125" style="1087" customWidth="1"/>
    <col min="23" max="23" width="3.109375" style="1087" customWidth="1"/>
    <col min="24" max="24" width="15.88671875" style="1087" customWidth="1"/>
    <col min="25" max="25" width="16.6640625" style="1087" customWidth="1"/>
    <col min="26" max="26" width="3.77734375" style="1087" customWidth="1"/>
    <col min="27" max="27" width="2.44140625" style="1087" customWidth="1"/>
    <col min="28" max="28" width="2.6640625" style="1087" customWidth="1"/>
    <col min="29" max="29" width="13.109375" style="1087" customWidth="1"/>
    <col min="30" max="30" width="14.5546875" style="1087" customWidth="1"/>
    <col min="31" max="31" width="2.44140625" style="1087" customWidth="1"/>
    <col min="32" max="32" width="1.109375" style="1087" customWidth="1"/>
    <col min="33" max="33" width="2.88671875" style="1087" customWidth="1"/>
    <col min="34" max="34" width="14.5546875" style="1087" customWidth="1"/>
    <col min="35" max="35" width="14.88671875" style="1087" customWidth="1"/>
    <col min="36" max="36" width="16.5546875" style="1087" customWidth="1"/>
    <col min="37" max="37" width="4.5546875" style="1087" customWidth="1"/>
    <col min="38" max="38" width="2.88671875" style="1087" customWidth="1"/>
    <col min="39" max="39" width="11.44140625" style="1087"/>
    <col min="40" max="40" width="13.109375" style="1087" customWidth="1"/>
    <col min="41" max="41" width="3.109375" style="1087" customWidth="1"/>
    <col min="42" max="42" width="1.44140625" style="1087" customWidth="1"/>
    <col min="43" max="43" width="2.88671875" style="1087" customWidth="1"/>
    <col min="44" max="45" width="11.44140625" style="1087"/>
    <col min="46" max="46" width="2.88671875" style="1087" customWidth="1"/>
    <col min="47" max="47" width="1.6640625" style="1087" customWidth="1"/>
    <col min="48" max="48" width="3.109375" style="1087" customWidth="1"/>
    <col min="49" max="50" width="11.44140625" style="1087"/>
    <col min="51" max="51" width="2.5546875" style="1087" customWidth="1"/>
    <col min="52" max="16384" width="11.44140625" style="1087"/>
  </cols>
  <sheetData>
    <row r="1" spans="2:21" ht="16.2" thickBot="1" x14ac:dyDescent="0.3">
      <c r="H1" s="2168" t="s">
        <v>2204</v>
      </c>
      <c r="I1" s="2688" t="s">
        <v>2205</v>
      </c>
      <c r="M1" s="1573"/>
      <c r="N1" s="1081"/>
      <c r="O1" s="1464"/>
    </row>
    <row r="2" spans="2:21" s="1070" customFormat="1" ht="14.1" customHeight="1" thickBot="1" x14ac:dyDescent="0.35">
      <c r="B2" s="4209" t="s">
        <v>228</v>
      </c>
      <c r="C2" s="4209"/>
      <c r="D2" s="4209"/>
      <c r="E2" s="4209"/>
      <c r="F2" s="4209"/>
      <c r="G2" s="4209"/>
      <c r="H2" s="2169" t="s">
        <v>2204</v>
      </c>
      <c r="I2" s="2689" t="s">
        <v>2206</v>
      </c>
      <c r="J2" s="1069"/>
      <c r="M2" s="2163"/>
      <c r="N2" s="2635"/>
      <c r="O2" s="2164"/>
      <c r="P2" s="4209" t="s">
        <v>227</v>
      </c>
      <c r="Q2" s="4209"/>
      <c r="R2" s="4209"/>
      <c r="S2" s="4209"/>
      <c r="T2" s="1069"/>
    </row>
    <row r="3" spans="2:21" s="1070" customFormat="1" ht="14.1" customHeight="1" thickBot="1" x14ac:dyDescent="0.35">
      <c r="B3" s="1071"/>
      <c r="C3" s="1071"/>
      <c r="D3" s="1071"/>
      <c r="E3" s="1071"/>
      <c r="F3" s="1071"/>
      <c r="G3" s="1071"/>
      <c r="H3" s="2169" t="s">
        <v>2206</v>
      </c>
      <c r="I3" s="2689" t="s">
        <v>2207</v>
      </c>
      <c r="M3" s="2163"/>
      <c r="N3" s="2635"/>
      <c r="O3" s="2164"/>
      <c r="P3" s="1071"/>
      <c r="Q3" s="1071"/>
      <c r="R3" s="1071"/>
      <c r="S3" s="1071"/>
      <c r="T3" s="1069"/>
    </row>
    <row r="4" spans="2:21" s="1070" customFormat="1" ht="14.1" customHeight="1" thickBot="1" x14ac:dyDescent="0.35">
      <c r="B4" s="1072"/>
      <c r="C4" s="1073" t="s">
        <v>1626</v>
      </c>
      <c r="D4" s="1074"/>
      <c r="E4" s="1072"/>
      <c r="F4" s="1072"/>
      <c r="G4" s="1072"/>
      <c r="H4" s="2169" t="s">
        <v>2207</v>
      </c>
      <c r="I4" s="2689" t="s">
        <v>2205</v>
      </c>
      <c r="M4" s="2163"/>
      <c r="N4" s="2635"/>
      <c r="O4" s="2164"/>
      <c r="P4" s="1712" t="s">
        <v>195</v>
      </c>
      <c r="Q4" s="1713">
        <v>100</v>
      </c>
      <c r="R4" s="1710" t="s">
        <v>225</v>
      </c>
      <c r="S4" s="1711" t="s">
        <v>193</v>
      </c>
      <c r="T4" s="1069"/>
    </row>
    <row r="5" spans="2:21" s="1070" customFormat="1" ht="14.1" customHeight="1" thickBot="1" x14ac:dyDescent="0.35">
      <c r="B5" s="2171" t="s">
        <v>186</v>
      </c>
      <c r="C5" s="1686">
        <v>2131</v>
      </c>
      <c r="D5" s="2855" t="s">
        <v>2163</v>
      </c>
      <c r="E5" s="2172" t="s">
        <v>185</v>
      </c>
      <c r="F5" s="1078"/>
      <c r="G5" s="1072"/>
      <c r="M5" s="2163"/>
      <c r="N5" s="2635"/>
      <c r="O5" s="2164"/>
      <c r="P5" s="1695"/>
      <c r="Q5" s="1090" t="s">
        <v>224</v>
      </c>
      <c r="R5" s="2567">
        <f>IF(ISNA(VLOOKUP($R$4,'VAL-INIT'!$J$4:$L$63,3,FALSE)),,VLOOKUP($R$4,'VAL-INIT'!$J$4:$L$63,3,FALSE))</f>
        <v>138600</v>
      </c>
      <c r="S5" s="1696" t="s">
        <v>207</v>
      </c>
      <c r="T5" s="1069"/>
    </row>
    <row r="6" spans="2:21" s="1070" customFormat="1" ht="14.1" customHeight="1" thickTop="1" x14ac:dyDescent="0.3">
      <c r="B6" s="1079" t="s">
        <v>207</v>
      </c>
      <c r="C6" s="3841">
        <f>IF(ISNA(VLOOKUP($D$5,'VAL-INIT'!$D$10:$F$88,3,FALSE)),,VLOOKUP($D$5,'VAL-INIT'!$D$10:$F$88,3,FALSE))</f>
        <v>75000</v>
      </c>
      <c r="D6" s="1685"/>
      <c r="E6" s="1078"/>
      <c r="F6" s="1078"/>
      <c r="G6" s="1079"/>
      <c r="M6" s="2163"/>
      <c r="N6" s="2635"/>
      <c r="O6" s="2164"/>
      <c r="P6" s="1697"/>
      <c r="Q6" s="1093"/>
      <c r="R6" s="1094">
        <v>0</v>
      </c>
      <c r="S6" s="1698"/>
      <c r="T6" s="1069"/>
    </row>
    <row r="7" spans="2:21" s="1070" customFormat="1" ht="14.1" customHeight="1" x14ac:dyDescent="0.3">
      <c r="B7" s="1071"/>
      <c r="C7" s="1082"/>
      <c r="D7" s="1083"/>
      <c r="E7" s="1071"/>
      <c r="F7" s="1071"/>
      <c r="G7" s="1071"/>
      <c r="J7" s="1069"/>
      <c r="M7" s="2163"/>
      <c r="N7" s="2635"/>
      <c r="O7" s="2164"/>
      <c r="P7" s="1697"/>
      <c r="Q7" s="1111"/>
      <c r="R7" s="1094">
        <v>0</v>
      </c>
      <c r="S7" s="1698"/>
      <c r="T7" s="1069"/>
    </row>
    <row r="8" spans="2:21" s="1070" customFormat="1" ht="14.1" customHeight="1" thickBot="1" x14ac:dyDescent="0.35">
      <c r="B8" s="1084"/>
      <c r="C8" s="1085"/>
      <c r="D8" s="1086"/>
      <c r="E8" s="1084"/>
      <c r="F8" s="1071"/>
      <c r="G8" s="1071"/>
      <c r="J8" s="1069"/>
      <c r="M8" s="2163"/>
      <c r="N8" s="2635"/>
      <c r="O8" s="2164"/>
      <c r="P8" s="1112"/>
      <c r="Q8" s="1114"/>
      <c r="R8" s="1115">
        <v>0</v>
      </c>
      <c r="S8" s="1699"/>
      <c r="T8" s="1069"/>
    </row>
    <row r="9" spans="2:21" s="1070" customFormat="1" ht="14.1" customHeight="1" thickTop="1" x14ac:dyDescent="0.3">
      <c r="C9" s="2161">
        <f>SUM(C6:C8)</f>
        <v>75000</v>
      </c>
      <c r="D9" s="1083">
        <f>SUM(D6:D8)</f>
        <v>0</v>
      </c>
      <c r="E9" s="1071" t="s">
        <v>189</v>
      </c>
      <c r="F9" s="1071"/>
      <c r="G9" s="1071"/>
      <c r="H9" s="1069"/>
      <c r="I9" s="2687"/>
      <c r="J9" s="1069"/>
      <c r="M9" s="2163"/>
      <c r="N9" s="2635"/>
      <c r="O9" s="2164"/>
      <c r="P9" s="1697"/>
      <c r="Q9" s="1111">
        <f>SUM(Q7:Q8)</f>
        <v>0</v>
      </c>
      <c r="R9" s="1116">
        <f>SUM(R5:R8)</f>
        <v>138600</v>
      </c>
      <c r="S9" s="1111"/>
      <c r="T9" s="1069"/>
    </row>
    <row r="10" spans="2:21" s="1070" customFormat="1" ht="14.1" customHeight="1" thickBot="1" x14ac:dyDescent="0.35">
      <c r="B10" s="2774" t="s">
        <v>203</v>
      </c>
      <c r="C10" s="2775">
        <f>(C9-D9)</f>
        <v>75000</v>
      </c>
      <c r="D10" s="1071"/>
      <c r="E10" s="1071"/>
      <c r="F10" s="1071"/>
      <c r="G10" s="1071"/>
      <c r="H10" s="1069"/>
      <c r="I10" s="2687"/>
      <c r="J10" s="1069"/>
      <c r="M10" s="2776">
        <f>C10</f>
        <v>75000</v>
      </c>
      <c r="N10" s="2635"/>
      <c r="O10" s="2164"/>
      <c r="P10" s="1112"/>
      <c r="Q10" s="1077"/>
      <c r="R10" s="1118">
        <f>$R$9</f>
        <v>138600</v>
      </c>
      <c r="S10" s="1714" t="s">
        <v>189</v>
      </c>
      <c r="T10" s="1069"/>
    </row>
    <row r="11" spans="2:21" ht="16.2" thickBot="1" x14ac:dyDescent="0.3">
      <c r="M11" s="1573"/>
      <c r="N11" s="1081"/>
      <c r="O11" s="1464"/>
      <c r="S11" s="1087"/>
      <c r="T11" s="1088"/>
      <c r="U11" s="1088"/>
    </row>
    <row r="12" spans="2:21" ht="16.8" thickTop="1" thickBot="1" x14ac:dyDescent="0.35">
      <c r="M12" s="1573"/>
      <c r="N12" s="1081"/>
      <c r="O12" s="1464"/>
      <c r="P12" s="1708" t="s">
        <v>195</v>
      </c>
      <c r="Q12" s="1709">
        <v>100</v>
      </c>
      <c r="R12" s="2175" t="s">
        <v>2181</v>
      </c>
      <c r="S12" s="1711" t="s">
        <v>193</v>
      </c>
    </row>
    <row r="13" spans="2:21" x14ac:dyDescent="0.25">
      <c r="B13" s="1072"/>
      <c r="C13" s="1073" t="s">
        <v>1626</v>
      </c>
      <c r="D13" s="1074"/>
      <c r="E13" s="1072"/>
      <c r="F13" s="1072"/>
      <c r="G13" s="1072"/>
      <c r="H13" s="1089">
        <v>4114</v>
      </c>
      <c r="I13" s="4199" t="s">
        <v>2049</v>
      </c>
      <c r="J13" s="4199"/>
      <c r="M13" s="2165"/>
      <c r="N13" s="1268"/>
      <c r="O13" s="1464"/>
      <c r="P13" s="1695"/>
      <c r="Q13" s="1090" t="s">
        <v>224</v>
      </c>
      <c r="R13" s="3813">
        <f>IF(ISNA(VLOOKUP($R$12,'VAL-INIT'!$J$26:$L$53,3,FALSE)),,VLOOKUP($R$12,'VAL-INIT'!$J$26:$L$53,3,FALSE))</f>
        <v>0</v>
      </c>
      <c r="S13" s="1696" t="s">
        <v>207</v>
      </c>
    </row>
    <row r="14" spans="2:21" ht="16.2" thickBot="1" x14ac:dyDescent="0.35">
      <c r="B14" s="1075" t="s">
        <v>186</v>
      </c>
      <c r="C14" s="1076">
        <v>22000</v>
      </c>
      <c r="D14" s="2121" t="s">
        <v>1712</v>
      </c>
      <c r="E14" s="1077" t="s">
        <v>185</v>
      </c>
      <c r="F14" s="1078"/>
      <c r="G14" s="1075" t="s">
        <v>186</v>
      </c>
      <c r="H14" s="1076">
        <v>22000</v>
      </c>
      <c r="I14" s="2690" t="s">
        <v>1712</v>
      </c>
      <c r="J14" s="1077" t="s">
        <v>185</v>
      </c>
      <c r="M14" s="1573"/>
      <c r="N14" s="1081"/>
      <c r="O14" s="1464"/>
      <c r="P14" s="1697"/>
      <c r="Q14" s="1093"/>
      <c r="R14" s="1094">
        <v>0</v>
      </c>
      <c r="S14" s="1698"/>
    </row>
    <row r="15" spans="2:21" ht="14.4" thickBot="1" x14ac:dyDescent="0.3">
      <c r="B15" s="1079" t="s">
        <v>207</v>
      </c>
      <c r="C15" s="1091">
        <f>IF(ISNA(VLOOKUP($D$14,'VAL-INIT'!$D$10:$F$88,3,FALSE)),,VLOOKUP($D$14,'VAL-INIT'!$D$10:$F$88,3,FALSE))</f>
        <v>0</v>
      </c>
      <c r="D15" s="1096" t="s">
        <v>1716</v>
      </c>
      <c r="E15" s="1078"/>
      <c r="F15" s="1078"/>
      <c r="G15" s="1079" t="s">
        <v>207</v>
      </c>
      <c r="H15" s="1097"/>
      <c r="I15" s="2691"/>
      <c r="M15" s="1573"/>
      <c r="N15" s="1081"/>
      <c r="O15" s="1464"/>
      <c r="P15" s="1697"/>
      <c r="Q15" s="1111"/>
      <c r="R15" s="1094">
        <v>0</v>
      </c>
      <c r="S15" s="1698"/>
    </row>
    <row r="16" spans="2:21" ht="14.4" thickBot="1" x14ac:dyDescent="0.3">
      <c r="B16" s="1099"/>
      <c r="C16" s="1100">
        <f>IF(ISNA(VLOOKUP($D$14,'Val-Dép'!I13:AC13,11,FALSE)),,VLOOKUP($D$45,'Val-Dép'!I13:AC13,11,FALSE))</f>
        <v>0</v>
      </c>
      <c r="D16" s="1101"/>
      <c r="E16" s="1078"/>
      <c r="F16" s="1078"/>
      <c r="G16" s="1099"/>
      <c r="H16" s="1102" t="str">
        <f>IF((  'Val-Dép'!I35= "Terrain de construction" ),'Val-Dép'!Z35,"0")</f>
        <v>0</v>
      </c>
      <c r="I16" s="2692"/>
      <c r="J16" s="1078"/>
      <c r="M16" s="1573"/>
      <c r="N16" s="1081"/>
      <c r="O16" s="1464"/>
      <c r="P16" s="1697"/>
      <c r="Q16" s="1111"/>
      <c r="R16" s="1116">
        <v>0</v>
      </c>
      <c r="S16" s="1700"/>
    </row>
    <row r="17" spans="2:26" ht="14.4" thickBot="1" x14ac:dyDescent="0.3">
      <c r="B17" s="1099"/>
      <c r="C17" s="1100">
        <f>IF(ISNA(VLOOKUP($D$14,'Val-Dép'!I14:AC14,11,FALSE)),,VLOOKUP($D$45,'Val-Dép'!I14:AC14,11,FALSE))</f>
        <v>0</v>
      </c>
      <c r="D17" s="1101"/>
      <c r="E17" s="1078"/>
      <c r="F17" s="1078"/>
      <c r="G17" s="1099"/>
      <c r="H17" s="1103" t="str">
        <f>IF((  'Val-Dép'!I36= "Terrain de construction" ),'Val-Dép'!Z36,"0")</f>
        <v>0</v>
      </c>
      <c r="I17" s="2692"/>
      <c r="J17" s="1078"/>
      <c r="M17" s="1573"/>
      <c r="N17" s="1081"/>
      <c r="O17" s="1464"/>
      <c r="P17" s="1701"/>
      <c r="Q17" s="1702">
        <f>SUM(Q15:Q16)</f>
        <v>4000</v>
      </c>
      <c r="R17" s="1703">
        <f>SUM(R13:R16)</f>
        <v>0</v>
      </c>
      <c r="S17" s="1702"/>
    </row>
    <row r="18" spans="2:26" ht="14.4" thickBot="1" x14ac:dyDescent="0.3">
      <c r="B18" s="1104"/>
      <c r="C18" s="1100">
        <f>IF(ISNA(VLOOKUP($D$14,'Val-Dép'!I22:AC22,11,FALSE)),,VLOOKUP($D$45,'Val-Dép'!I22:AC22,11,FALSE))</f>
        <v>0</v>
      </c>
      <c r="D18" s="1105">
        <v>0</v>
      </c>
      <c r="E18" s="1106"/>
      <c r="F18" s="1078"/>
      <c r="G18" s="1104"/>
      <c r="H18" s="1107" t="str">
        <f>IF((  'Val-Dép'!I44= "Terrain de construction" ),'Val-Dép'!Z44,"0")</f>
        <v>0</v>
      </c>
      <c r="I18" s="2693">
        <v>0</v>
      </c>
      <c r="J18" s="1106"/>
      <c r="M18" s="1573"/>
      <c r="N18" s="1081"/>
      <c r="O18" s="1464"/>
      <c r="P18" s="1704"/>
      <c r="Q18" s="1705"/>
      <c r="R18" s="1706">
        <f>R17</f>
        <v>0</v>
      </c>
      <c r="S18" s="1707" t="s">
        <v>189</v>
      </c>
    </row>
    <row r="19" spans="2:26" ht="14.4" thickBot="1" x14ac:dyDescent="0.3">
      <c r="B19" s="1108"/>
      <c r="C19" s="1109">
        <f>SUM(C15:C18)</f>
        <v>0</v>
      </c>
      <c r="D19" s="1110">
        <f>SUM(D16:D18)</f>
        <v>0</v>
      </c>
      <c r="E19" s="1078"/>
      <c r="F19" s="1078"/>
      <c r="G19" s="1108"/>
      <c r="H19" s="1109">
        <f>SUM(H15:H18)</f>
        <v>0</v>
      </c>
      <c r="I19" s="2694">
        <f>SUM(I16:I18)</f>
        <v>0</v>
      </c>
      <c r="J19" s="1078"/>
      <c r="M19" s="1573"/>
      <c r="N19" s="1081"/>
      <c r="O19" s="1464"/>
      <c r="P19" s="1072"/>
      <c r="Q19" s="1119">
        <v>170</v>
      </c>
      <c r="R19" s="1096"/>
      <c r="S19" s="1096"/>
    </row>
    <row r="20" spans="2:26" ht="16.8" thickTop="1" thickBot="1" x14ac:dyDescent="0.35">
      <c r="B20" s="1112" t="s">
        <v>190</v>
      </c>
      <c r="C20" s="1113">
        <f>C19-D19</f>
        <v>0</v>
      </c>
      <c r="H20" s="1113">
        <f>H19-I19</f>
        <v>0</v>
      </c>
      <c r="M20" s="2166">
        <f>SUM(C20,H20)</f>
        <v>0</v>
      </c>
      <c r="N20" s="2630"/>
      <c r="O20" s="1464"/>
      <c r="R20" s="2175" t="s">
        <v>2390</v>
      </c>
      <c r="Y20" s="2175" t="s">
        <v>2390</v>
      </c>
      <c r="Z20" s="1136"/>
    </row>
    <row r="21" spans="2:26" x14ac:dyDescent="0.25">
      <c r="M21" s="1573"/>
      <c r="N21" s="1081"/>
      <c r="O21" s="1464"/>
      <c r="Q21" s="2849" t="s">
        <v>1873</v>
      </c>
      <c r="R21" s="2849" t="s">
        <v>1872</v>
      </c>
      <c r="X21" s="2922" t="s">
        <v>1873</v>
      </c>
      <c r="Y21" s="2922" t="s">
        <v>1872</v>
      </c>
      <c r="Z21" s="1136"/>
    </row>
    <row r="22" spans="2:26" ht="16.2" thickBot="1" x14ac:dyDescent="0.35">
      <c r="M22" s="1573"/>
      <c r="N22" s="1081"/>
      <c r="O22" s="1464"/>
      <c r="P22" s="1120" t="s">
        <v>195</v>
      </c>
      <c r="R22" s="2847" t="s">
        <v>2363</v>
      </c>
      <c r="S22" s="1122" t="s">
        <v>193</v>
      </c>
      <c r="W22" s="1120" t="s">
        <v>195</v>
      </c>
      <c r="X22" s="2370">
        <v>439</v>
      </c>
      <c r="Y22" s="2847" t="s">
        <v>2391</v>
      </c>
      <c r="Z22" s="1122" t="s">
        <v>193</v>
      </c>
    </row>
    <row r="23" spans="2:26" ht="15.6" x14ac:dyDescent="0.3">
      <c r="B23" s="1072"/>
      <c r="C23" s="1073" t="s">
        <v>1626</v>
      </c>
      <c r="D23" s="1117" t="s">
        <v>2171</v>
      </c>
      <c r="E23" s="1074"/>
      <c r="F23" s="1074"/>
      <c r="G23" s="1072"/>
      <c r="H23" s="1089">
        <v>4114</v>
      </c>
      <c r="I23" s="4199" t="s">
        <v>2049</v>
      </c>
      <c r="J23" s="4199"/>
      <c r="M23" s="1573"/>
      <c r="N23" s="1081"/>
      <c r="O23" s="1464"/>
      <c r="P23" s="1123"/>
      <c r="Q23" s="1124" t="s">
        <v>223</v>
      </c>
      <c r="R23" s="1091">
        <f>IF(ISNA(VLOOKUP($R$22,'VAL-INIT'!$J$26:$L$53,3,FALSE)),,VLOOKUP($R$22,'VAL-INIT'!$J$26:$L$53,3,FALSE))</f>
        <v>0</v>
      </c>
      <c r="S23" s="1125" t="s">
        <v>207</v>
      </c>
      <c r="W23" s="1123"/>
      <c r="X23" s="1124" t="s">
        <v>223</v>
      </c>
      <c r="Y23" s="2927">
        <f>IF(ISNA(VLOOKUP($Y22,'VAL-INIT'!$J$5:$L$63,3,FALSE)),,VLOOKUP($Y$22,'VAL-INIT'!$J$5:$L$63,3,FALSE))</f>
        <v>0</v>
      </c>
      <c r="Z23" s="1125" t="s">
        <v>207</v>
      </c>
    </row>
    <row r="24" spans="2:26" ht="16.2" thickBot="1" x14ac:dyDescent="0.35">
      <c r="B24" s="1075" t="s">
        <v>186</v>
      </c>
      <c r="C24" s="1076">
        <v>230</v>
      </c>
      <c r="D24" s="2854" t="s">
        <v>1713</v>
      </c>
      <c r="E24" s="1077" t="s">
        <v>185</v>
      </c>
      <c r="F24" s="1078"/>
      <c r="G24" s="1075" t="s">
        <v>186</v>
      </c>
      <c r="H24" s="1076">
        <v>23000</v>
      </c>
      <c r="I24" s="2853" t="s">
        <v>1713</v>
      </c>
      <c r="J24" s="1077" t="s">
        <v>185</v>
      </c>
      <c r="M24" s="1573"/>
      <c r="N24" s="1081"/>
      <c r="O24" s="1464"/>
      <c r="P24" s="1072"/>
      <c r="Q24" s="1100" t="str">
        <f>IF(ISERROR(HLOOKUP($Q$22,'Val-Dép'!#REF!,2,FALSE)),  "0",HLOOKUP($Q$22,'Val-Dép'!#REF!,2,FALSE))</f>
        <v>0</v>
      </c>
      <c r="R24" s="1100" t="str">
        <f>IF(ISERROR(HLOOKUP($R$20,'Val-Dép'!#REF!,2,FALSE)), "0", HLOOKUP($R$20,'Val-Dép'!#REF!,2,FALSE))</f>
        <v>0</v>
      </c>
      <c r="S24" s="1095"/>
      <c r="W24" s="1072"/>
      <c r="X24" s="1100" t="str">
        <f>IF(ISERROR(HLOOKUP($Q$22,'Val-Dép'!#REF!,2,FALSE)),  "0",HLOOKUP($Q$22,'Val-Dép'!#REF!,2,FALSE))</f>
        <v>0</v>
      </c>
      <c r="Y24" s="1100" t="str">
        <f>IF(ISERROR(HLOOKUP($R$20,'Val-Dép'!#REF!,2,FALSE)), "0", HLOOKUP($R$20,'Val-Dép'!#REF!,2,FALSE))</f>
        <v>0</v>
      </c>
      <c r="Z24" s="1095"/>
    </row>
    <row r="25" spans="2:26" ht="14.4" thickBot="1" x14ac:dyDescent="0.3">
      <c r="B25" s="1079" t="s">
        <v>207</v>
      </c>
      <c r="C25" s="2685">
        <v>0</v>
      </c>
      <c r="D25" s="1096"/>
      <c r="E25" s="1078"/>
      <c r="F25" s="1078"/>
      <c r="G25" s="1079" t="s">
        <v>207</v>
      </c>
      <c r="H25" s="1097"/>
      <c r="I25" s="2691"/>
      <c r="M25" s="1573"/>
      <c r="N25" s="1081"/>
      <c r="O25" s="1464"/>
      <c r="P25" s="1072"/>
      <c r="Q25" s="1100" t="str">
        <f>IF(ISERROR(HLOOKUP($Q$22,'Val-Dép'!#REF!,2,FALSE)),  "0",HLOOKUP($Q$22,'Val-Dép'!#REF!,2,FALSE))</f>
        <v>0</v>
      </c>
      <c r="R25" s="1100" t="str">
        <f>IF(ISERROR(HLOOKUP($R$20,'Val-Dép'!#REF!,2,FALSE)), "0", HLOOKUP($R$20,'Val-Dép'!#REF!,2,FALSE))</f>
        <v>0</v>
      </c>
      <c r="W25" s="1072"/>
      <c r="X25" s="1100" t="str">
        <f>IF(ISERROR(HLOOKUP($Q$22,'Val-Dép'!#REF!,2,FALSE)),  "0",HLOOKUP($Q$22,'Val-Dép'!#REF!,2,FALSE))</f>
        <v>0</v>
      </c>
      <c r="Y25" s="1100" t="str">
        <f>IF(ISERROR(HLOOKUP($R$20,'Val-Dép'!#REF!,2,FALSE)), "0", HLOOKUP($R$20,'Val-Dép'!#REF!,2,FALSE))</f>
        <v>0</v>
      </c>
      <c r="Z25" s="1136"/>
    </row>
    <row r="26" spans="2:26" x14ac:dyDescent="0.25">
      <c r="B26" s="1099"/>
      <c r="C26" s="1100">
        <f>IF(ISNA(VLOOKUP($D$24,'Val-Dép'!I35:AC35,11,FALSE)),,VLOOKUP($D$24,'Val-Dép'!I35:AC35,11,FALSE))</f>
        <v>0</v>
      </c>
      <c r="D26" s="1101"/>
      <c r="E26" s="1078"/>
      <c r="F26" s="1078"/>
      <c r="G26" s="1099">
        <v>35</v>
      </c>
      <c r="H26" s="1102" t="str">
        <f>IF((  'Val-Dép'!I35= "I.M.O." ),'Val-Dép'!Z35,"0")</f>
        <v>0</v>
      </c>
      <c r="I26" s="2692"/>
      <c r="J26" s="1078"/>
      <c r="M26" s="1573"/>
      <c r="N26" s="1081"/>
      <c r="O26" s="1464"/>
      <c r="P26" s="1072"/>
      <c r="Q26" s="1100" t="str">
        <f>IF(ISERROR(HLOOKUP($Q$22,'Val-Dép'!#REF!,2,FALSE)),  "0",HLOOKUP($Q$22,'Val-Dép'!#REF!,2,FALSE))</f>
        <v>0</v>
      </c>
      <c r="R26" s="1100" t="str">
        <f>IF(ISERROR(HLOOKUP($R$20,'Val-Dép'!#REF!,2,FALSE)), "0", HLOOKUP($R$20,'Val-Dép'!#REF!,2,FALSE))</f>
        <v>0</v>
      </c>
      <c r="S26" s="1095"/>
      <c r="W26" s="1072"/>
      <c r="X26" s="1100" t="str">
        <f>IF(ISERROR(HLOOKUP($Q$22,'Val-Dép'!#REF!,2,FALSE)),  "0",HLOOKUP($Q$22,'Val-Dép'!#REF!,2,FALSE))</f>
        <v>0</v>
      </c>
      <c r="Y26" s="1100" t="str">
        <f>IF(ISERROR(HLOOKUP($R$20,'Val-Dép'!#REF!,2,FALSE)), "0", HLOOKUP($R$20,'Val-Dép'!#REF!,2,FALSE))</f>
        <v>0</v>
      </c>
      <c r="Z26" s="1095"/>
    </row>
    <row r="27" spans="2:26" x14ac:dyDescent="0.25">
      <c r="B27" s="1099"/>
      <c r="C27" s="1100">
        <f>IF(ISNA(VLOOKUP($D$24,'Val-Dép'!I38:AC38,11,FALSE)),,VLOOKUP($D$24,'Val-Dép'!I38:AC38,11,FALSE))</f>
        <v>0</v>
      </c>
      <c r="D27" s="1101"/>
      <c r="E27" s="1078"/>
      <c r="F27" s="1078"/>
      <c r="G27" s="1099">
        <v>38</v>
      </c>
      <c r="H27" s="1103" t="str">
        <f>IF((  'Val-Dép'!I38= "I.M.O." ),'Val-Dép'!Z38,"0")</f>
        <v>0</v>
      </c>
      <c r="I27" s="2692"/>
      <c r="J27" s="1078"/>
      <c r="O27" s="1464"/>
      <c r="P27" s="1072"/>
      <c r="Q27" s="1100" t="str">
        <f>IF(ISERROR(HLOOKUP($Q$22,'Val-Dép'!#REF!,2,FALSE)),  "0",HLOOKUP($Q$22,'Val-Dép'!#REF!,2,FALSE))</f>
        <v>0</v>
      </c>
      <c r="R27" s="1100" t="str">
        <f>IF(ISERROR(HLOOKUP($R$20,'Val-Dép'!#REF!,2,FALSE)), "0", HLOOKUP($R$20,'Val-Dép'!#REF!,2,FALSE))</f>
        <v>0</v>
      </c>
      <c r="S27" s="1095"/>
      <c r="W27" s="1072"/>
      <c r="X27" s="1100" t="str">
        <f>IF(ISERROR(HLOOKUP($Q$22,'Val-Dép'!#REF!,2,FALSE)),  "0",HLOOKUP($Q$22,'Val-Dép'!#REF!,2,FALSE))</f>
        <v>0</v>
      </c>
      <c r="Y27" s="1100" t="str">
        <f>IF(ISERROR(HLOOKUP($R$20,'Val-Dép'!#REF!,2,FALSE)), "0", HLOOKUP($R$20,'Val-Dép'!#REF!,2,FALSE))</f>
        <v>0</v>
      </c>
      <c r="Z27" s="1095"/>
    </row>
    <row r="28" spans="2:26" ht="14.4" thickBot="1" x14ac:dyDescent="0.3">
      <c r="B28" s="1104"/>
      <c r="C28" s="1100">
        <f>IF(ISNA(VLOOKUP($D$24,'Val-Dép'!I44:AC44,11,FALSE)),,VLOOKUP($D$24,'Val-Dép'!I44:AC44,11,FALSE))</f>
        <v>0</v>
      </c>
      <c r="D28" s="1105">
        <v>0</v>
      </c>
      <c r="E28" s="1106"/>
      <c r="F28" s="1078"/>
      <c r="G28" s="1104" t="s">
        <v>174</v>
      </c>
      <c r="H28" s="1107" t="str">
        <f>IF((  'Val-Dép'!I44= "I.M.O." ),'Val-Dép'!Z44,"0")</f>
        <v>0</v>
      </c>
      <c r="I28" s="2693">
        <v>0</v>
      </c>
      <c r="J28" s="1106"/>
      <c r="M28" s="1573"/>
      <c r="N28" s="1081"/>
      <c r="O28" s="1464"/>
      <c r="P28" s="1072"/>
      <c r="Q28" s="1100" t="str">
        <f>IF(ISERROR(HLOOKUP($Q$22,'Val-Dép'!#REF!,2,FALSE)),  "0",HLOOKUP($Q$22,'Val-Dép'!#REF!,2,FALSE))</f>
        <v>0</v>
      </c>
      <c r="R28" s="1100" t="str">
        <f>IF(ISERROR(HLOOKUP($R$20,'Val-Dép'!#REF!,2,FALSE)), "0", HLOOKUP($R$20,'Val-Dép'!#REF!,2,FALSE))</f>
        <v>0</v>
      </c>
      <c r="S28" s="1095"/>
      <c r="W28" s="1072"/>
      <c r="X28" s="1100" t="str">
        <f>IF(ISERROR(HLOOKUP($Q$22,'Val-Dép'!#REF!,2,FALSE)),  "0",HLOOKUP($Q$22,'Val-Dép'!#REF!,2,FALSE))</f>
        <v>0</v>
      </c>
      <c r="Y28" s="1100" t="str">
        <f>IF(ISERROR(HLOOKUP($R$20,'Val-Dép'!#REF!,2,FALSE)), "0", HLOOKUP($R$20,'Val-Dép'!#REF!,2,FALSE))</f>
        <v>0</v>
      </c>
      <c r="Z28" s="1095"/>
    </row>
    <row r="29" spans="2:26" x14ac:dyDescent="0.25">
      <c r="B29" s="1108"/>
      <c r="C29" s="1109">
        <f>SUM(C25:C28)</f>
        <v>0</v>
      </c>
      <c r="D29" s="1110">
        <f>SUM(D26:D28)</f>
        <v>0</v>
      </c>
      <c r="E29" s="1078"/>
      <c r="F29" s="1078"/>
      <c r="G29" s="1108"/>
      <c r="H29" s="1109">
        <f>SUM(H25:H28)</f>
        <v>0</v>
      </c>
      <c r="I29" s="2694">
        <f>SUM(I26:I28)</f>
        <v>0</v>
      </c>
      <c r="J29" s="1078"/>
      <c r="M29" s="1573"/>
      <c r="N29" s="1081"/>
      <c r="O29" s="1464"/>
      <c r="P29" s="1072"/>
      <c r="Q29" s="1078"/>
      <c r="R29" s="1100"/>
      <c r="S29" s="1095"/>
      <c r="W29" s="1072"/>
      <c r="X29" s="1078"/>
      <c r="Y29" s="1100"/>
      <c r="Z29" s="1095"/>
    </row>
    <row r="30" spans="2:26" ht="14.4" thickBot="1" x14ac:dyDescent="0.3">
      <c r="B30" s="2682" t="s">
        <v>203</v>
      </c>
      <c r="C30" s="1113">
        <f>C29-D29</f>
        <v>0</v>
      </c>
      <c r="G30" s="2682" t="s">
        <v>203</v>
      </c>
      <c r="H30" s="1113">
        <f>H29-I29</f>
        <v>0</v>
      </c>
      <c r="M30" s="2166">
        <f>SUM(C30,H30)</f>
        <v>0</v>
      </c>
      <c r="N30" s="2630"/>
      <c r="O30" s="1464"/>
      <c r="P30" s="1072"/>
      <c r="Q30" s="1077"/>
      <c r="R30" s="1100"/>
      <c r="S30" s="1106"/>
      <c r="W30" s="1072"/>
      <c r="X30" s="1077"/>
      <c r="Y30" s="1100"/>
      <c r="Z30" s="1106"/>
    </row>
    <row r="31" spans="2:26" ht="15.6" x14ac:dyDescent="0.3">
      <c r="C31" s="1127"/>
      <c r="H31" s="1128"/>
      <c r="M31" s="1573"/>
      <c r="N31" s="1081"/>
      <c r="O31" s="1464"/>
      <c r="P31" s="1072"/>
      <c r="Q31" s="1078">
        <f>SUM(Q24:Q30)</f>
        <v>0</v>
      </c>
      <c r="R31" s="2926">
        <f>SUM(R23:R30)</f>
        <v>0</v>
      </c>
      <c r="S31" s="1072"/>
      <c r="W31" s="1072"/>
      <c r="X31" s="1078">
        <f>SUM(X24:X30)</f>
        <v>0</v>
      </c>
      <c r="Y31" s="2926">
        <f>SUM(Y23:Y30)</f>
        <v>0</v>
      </c>
      <c r="Z31" s="1072"/>
    </row>
    <row r="32" spans="2:26" ht="16.2" thickBot="1" x14ac:dyDescent="0.35">
      <c r="C32" s="1129"/>
      <c r="H32" s="1128"/>
      <c r="M32" s="1573"/>
      <c r="N32" s="1081"/>
      <c r="O32" s="1464"/>
      <c r="P32" s="1072"/>
      <c r="Q32" s="2791">
        <f>IF(Q31&gt;R31,Q31-R31,0)</f>
        <v>0</v>
      </c>
      <c r="R32" s="2925">
        <f>IF(Q31&lt;R31,R31-Q31,0)</f>
        <v>0</v>
      </c>
      <c r="S32" s="1075" t="s">
        <v>189</v>
      </c>
      <c r="W32" s="1072"/>
      <c r="X32" s="2791">
        <f>IF(X31&gt;Y31,X31-Y31,0)</f>
        <v>0</v>
      </c>
      <c r="Y32" s="2925">
        <f>IF(X31&lt;Y31,Y31-X31,0)</f>
        <v>0</v>
      </c>
      <c r="Z32" s="1075" t="s">
        <v>189</v>
      </c>
    </row>
    <row r="33" spans="2:19" ht="14.4" thickBot="1" x14ac:dyDescent="0.3">
      <c r="C33" s="1130"/>
      <c r="M33" s="1573"/>
      <c r="N33" s="1081"/>
      <c r="O33" s="1464"/>
    </row>
    <row r="34" spans="2:19" x14ac:dyDescent="0.25">
      <c r="B34" s="1072"/>
      <c r="C34" s="1073" t="s">
        <v>1626</v>
      </c>
      <c r="D34" s="1131"/>
      <c r="E34" s="1078"/>
      <c r="F34" s="1078"/>
      <c r="G34" s="1096"/>
      <c r="H34" s="1089">
        <v>4114</v>
      </c>
      <c r="I34" s="4224" t="s">
        <v>2049</v>
      </c>
      <c r="J34" s="4225"/>
      <c r="M34" s="1573"/>
      <c r="N34" s="1081"/>
      <c r="O34" s="1464"/>
      <c r="S34" s="1087"/>
    </row>
    <row r="35" spans="2:19" ht="16.2" thickBot="1" x14ac:dyDescent="0.35">
      <c r="B35" s="1075" t="s">
        <v>186</v>
      </c>
      <c r="C35" s="1076">
        <v>23100</v>
      </c>
      <c r="D35" s="2854" t="s">
        <v>12</v>
      </c>
      <c r="E35" s="1077" t="s">
        <v>185</v>
      </c>
      <c r="F35" s="1072"/>
      <c r="G35" s="1075" t="s">
        <v>186</v>
      </c>
      <c r="H35" s="1076">
        <v>23100</v>
      </c>
      <c r="I35" s="2853" t="s">
        <v>12</v>
      </c>
      <c r="J35" s="1077" t="s">
        <v>185</v>
      </c>
      <c r="M35" s="1573"/>
      <c r="N35" s="1081"/>
      <c r="O35" s="1464"/>
      <c r="S35" s="1087"/>
    </row>
    <row r="36" spans="2:19" x14ac:dyDescent="0.25">
      <c r="B36" s="1095" t="s">
        <v>207</v>
      </c>
      <c r="C36" s="1091">
        <f>IF(ISNA(VLOOKUP($D$35,'VAL-INIT'!$D$10:$F$88,3,FALSE)),,VLOOKUP($D$35,'VAL-INIT'!$D$10:$F$88,3,FALSE))</f>
        <v>12500</v>
      </c>
      <c r="D36" s="1132" t="s">
        <v>206</v>
      </c>
      <c r="E36" s="1133"/>
      <c r="F36" s="1072"/>
      <c r="G36" s="1095" t="s">
        <v>207</v>
      </c>
      <c r="H36" s="1097"/>
      <c r="M36" s="1573"/>
      <c r="N36" s="1081"/>
      <c r="O36" s="1464"/>
      <c r="S36" s="1087"/>
    </row>
    <row r="37" spans="2:19" ht="15.6" x14ac:dyDescent="0.3">
      <c r="B37" s="1134">
        <f>$P$41</f>
        <v>0</v>
      </c>
      <c r="C37" s="1135">
        <f>IF(ISNA(VLOOKUP($D$35,'Val-Dép'!I35:AC35,11,FALSE)),,VLOOKUP($D$35,'Val-Dép'!I35:AC35,11,FALSE))</f>
        <v>0</v>
      </c>
      <c r="D37" s="1130"/>
      <c r="E37" s="1133"/>
      <c r="F37" s="1072"/>
      <c r="G37" s="1134">
        <f>$P$41</f>
        <v>0</v>
      </c>
      <c r="H37" s="1103" t="str">
        <f>IF((  'Val-Dép'!I35= "Machine" ),'Val-Dép'!Z35,"0")</f>
        <v>0</v>
      </c>
      <c r="I37" s="2696"/>
      <c r="J37" s="1133"/>
      <c r="M37" s="1573"/>
      <c r="N37" s="1081"/>
      <c r="O37" s="1464"/>
      <c r="Q37" s="1139" t="s">
        <v>1873</v>
      </c>
      <c r="R37" s="1139" t="s">
        <v>1872</v>
      </c>
    </row>
    <row r="38" spans="2:19" x14ac:dyDescent="0.25">
      <c r="B38" s="1099">
        <v>36</v>
      </c>
      <c r="C38" s="1135">
        <f>IF(ISNA(VLOOKUP($D$35,'Val-Dép'!I36:AC36,11,FALSE)),,VLOOKUP($D$35,'Val-Dép'!I36:AC36,11,FALSE))</f>
        <v>0</v>
      </c>
      <c r="D38" s="1130"/>
      <c r="E38" s="1133"/>
      <c r="F38" s="1072"/>
      <c r="G38" s="1099">
        <v>36</v>
      </c>
      <c r="H38" s="1103" t="str">
        <f>IF((  'Val-Dép'!I36= "Machine" ),'Val-Dép'!Z36,"0")</f>
        <v>0</v>
      </c>
      <c r="I38" s="2696"/>
      <c r="J38" s="1133"/>
      <c r="M38" s="1573"/>
      <c r="N38" s="1081"/>
      <c r="O38" s="1464"/>
      <c r="Q38" s="1139"/>
      <c r="R38" s="1139"/>
    </row>
    <row r="39" spans="2:19" ht="16.2" thickBot="1" x14ac:dyDescent="0.35">
      <c r="B39" s="1137" t="s">
        <v>174</v>
      </c>
      <c r="C39" s="1135">
        <f>IF(ISNA(VLOOKUP($D$35,'Val-Dép'!I44:AC44,11,FALSE)),,VLOOKUP($D$35,'Val-Dép'!I44:AC44,11,FALSE))</f>
        <v>0</v>
      </c>
      <c r="D39" s="1115">
        <v>0</v>
      </c>
      <c r="E39" s="1106"/>
      <c r="F39" s="1078"/>
      <c r="G39" s="1137" t="s">
        <v>174</v>
      </c>
      <c r="H39" s="1103" t="str">
        <f>IF((  'Val-Dép'!I44= "Machine" ),'Val-Dép'!Z44,"0")</f>
        <v>0</v>
      </c>
      <c r="I39" s="2697">
        <v>0</v>
      </c>
      <c r="J39" s="1106"/>
      <c r="M39" s="1573"/>
      <c r="N39" s="1081"/>
      <c r="O39" s="1464"/>
      <c r="P39" s="2923" t="s">
        <v>195</v>
      </c>
      <c r="Q39" s="1139">
        <v>173</v>
      </c>
      <c r="R39" s="2847" t="s">
        <v>2468</v>
      </c>
      <c r="S39" s="2924" t="s">
        <v>193</v>
      </c>
    </row>
    <row r="40" spans="2:19" ht="15.6" x14ac:dyDescent="0.3">
      <c r="B40" s="1108"/>
      <c r="C40" s="1109">
        <f>SUM(C36:C39)</f>
        <v>12500</v>
      </c>
      <c r="D40" s="1110">
        <f>SUM(D36:D39)</f>
        <v>0</v>
      </c>
      <c r="E40" s="1078"/>
      <c r="F40" s="1078"/>
      <c r="H40" s="1138">
        <f>SUM(H36:H39)</f>
        <v>0</v>
      </c>
      <c r="I40" s="2698"/>
      <c r="J40" s="1072"/>
      <c r="M40" s="1573"/>
      <c r="N40" s="1081"/>
      <c r="O40" s="1464"/>
      <c r="P40" s="1123"/>
      <c r="Q40" s="1124" t="s">
        <v>223</v>
      </c>
      <c r="R40" s="3561">
        <f>IF(ISNA(VLOOKUP($R$39,'VAL-INIT'!$J$4:$L$63,3,FALSE)),,VLOOKUP($R$39,'VAL-INIT'!$J$4:$L$63,3,FALSE))</f>
        <v>0</v>
      </c>
      <c r="S40" s="1140" t="s">
        <v>207</v>
      </c>
    </row>
    <row r="41" spans="2:19" ht="16.2" thickBot="1" x14ac:dyDescent="0.35">
      <c r="B41" s="1112" t="s">
        <v>190</v>
      </c>
      <c r="C41" s="1113">
        <f>C40-D40</f>
        <v>12500</v>
      </c>
      <c r="H41" s="1113">
        <f>H40-I40</f>
        <v>0</v>
      </c>
      <c r="I41" s="2698"/>
      <c r="J41" s="1072"/>
      <c r="M41" s="2166">
        <f>SUM(C41,H41)</f>
        <v>12500</v>
      </c>
      <c r="N41" s="2630"/>
      <c r="O41" s="1464"/>
      <c r="P41" s="1134">
        <f>'Val-Dép'!A35</f>
        <v>0</v>
      </c>
      <c r="Q41" s="1141" t="str">
        <f>IF(( 'Val-Dép'!H35="Crédit-banq" ),'Val-Dép'!AM35,"0")</f>
        <v>0</v>
      </c>
      <c r="R41" s="1100" t="str">
        <f>IF(('Val-Dép'!H35="Crédit-banq"),'Val-Dép'!S35,"0")</f>
        <v>0</v>
      </c>
      <c r="S41" s="1095"/>
    </row>
    <row r="42" spans="2:19" x14ac:dyDescent="0.25">
      <c r="B42" s="1072"/>
      <c r="C42" s="1128"/>
      <c r="H42" s="1128"/>
      <c r="I42" s="2698"/>
      <c r="J42" s="1072"/>
      <c r="M42" s="1573"/>
      <c r="N42" s="1081"/>
      <c r="O42" s="1464"/>
      <c r="P42" s="1072"/>
      <c r="Q42" s="1141" t="str">
        <f>IF(( 'Val-Dép'!H36="Crédit-banq" ),'Val-Dép'!AM36,"0")</f>
        <v>0</v>
      </c>
      <c r="R42" s="1100" t="str">
        <f>IF(('Val-Dép'!H36="Crédit-banq"),'Val-Dép'!S36,"0")</f>
        <v>0</v>
      </c>
      <c r="S42" s="1095"/>
    </row>
    <row r="43" spans="2:19" ht="14.4" thickBot="1" x14ac:dyDescent="0.3">
      <c r="B43" s="1072"/>
      <c r="C43" s="1128"/>
      <c r="H43" s="1128"/>
      <c r="I43" s="2698"/>
      <c r="J43" s="1072"/>
      <c r="M43" s="1573"/>
      <c r="N43" s="1081"/>
      <c r="O43" s="1464"/>
      <c r="P43" s="1072"/>
      <c r="Q43" s="1141" t="str">
        <f>IF(( 'Val-Dép'!H37="Crédit-banq" ),'Val-Dép'!AM37,"0")</f>
        <v>0</v>
      </c>
      <c r="R43" s="1100" t="str">
        <f>IF(('Val-Dép'!H37="Crédit-banq"),'Val-Dép'!S37,"0")</f>
        <v>0</v>
      </c>
      <c r="S43" s="1095"/>
    </row>
    <row r="44" spans="2:19" x14ac:dyDescent="0.25">
      <c r="H44" s="1089">
        <v>4114</v>
      </c>
      <c r="I44" s="4199" t="s">
        <v>2049</v>
      </c>
      <c r="J44" s="4199"/>
      <c r="M44" s="1573"/>
      <c r="N44" s="1081"/>
      <c r="O44" s="1464"/>
      <c r="P44" s="1072"/>
      <c r="Q44" s="1141" t="str">
        <f>IF(( 'Val-Dép'!H38="Crédit-banq" ),'Val-Dép'!AM38,"0")</f>
        <v>0</v>
      </c>
      <c r="R44" s="1100" t="str">
        <f>IF(('Val-Dép'!H38="Crédit-banq"),'Val-Dép'!S38,"0")</f>
        <v>0</v>
      </c>
      <c r="S44" s="1095"/>
    </row>
    <row r="45" spans="2:19" ht="16.2" thickBot="1" x14ac:dyDescent="0.35">
      <c r="B45" s="1075" t="s">
        <v>186</v>
      </c>
      <c r="C45" s="1076">
        <v>23700</v>
      </c>
      <c r="D45" s="2854" t="s">
        <v>226</v>
      </c>
      <c r="E45" s="1077" t="s">
        <v>185</v>
      </c>
      <c r="F45" s="1078"/>
      <c r="G45" s="1075" t="s">
        <v>186</v>
      </c>
      <c r="H45" s="1076">
        <v>24000</v>
      </c>
      <c r="I45" s="2853" t="s">
        <v>226</v>
      </c>
      <c r="J45" s="1077" t="s">
        <v>185</v>
      </c>
      <c r="M45" s="1573"/>
      <c r="N45" s="1081"/>
      <c r="O45" s="1464"/>
      <c r="P45" s="1072"/>
      <c r="Q45" s="1141" t="str">
        <f>IF(( 'Val-Dép'!H39="Crédit-banq" ),'Val-Dép'!AM39,"0")</f>
        <v>0</v>
      </c>
      <c r="R45" s="1100" t="str">
        <f>IF(('Val-Dép'!H39="Crédit-banq"),'Val-Dép'!S39,"0")</f>
        <v>0</v>
      </c>
      <c r="S45" s="1095"/>
    </row>
    <row r="46" spans="2:19" ht="14.4" thickBot="1" x14ac:dyDescent="0.3">
      <c r="B46" s="1079" t="s">
        <v>207</v>
      </c>
      <c r="C46" s="1091">
        <f>IF(ISNA(VLOOKUP($D$45,'VAL-INIT'!$D$10:$F$88,2,FALSE)),,VLOOKUP($D$45,'VAL-INIT'!$D$10:$F$88,2,FALSE))</f>
        <v>0</v>
      </c>
      <c r="D46" s="1096"/>
      <c r="E46" s="1078"/>
      <c r="F46" s="1078"/>
      <c r="G46" s="1092" t="s">
        <v>207</v>
      </c>
      <c r="M46" s="1573"/>
      <c r="N46" s="1081"/>
      <c r="O46" s="1464"/>
      <c r="P46" s="1072"/>
      <c r="Q46" s="1141" t="str">
        <f>IF(( 'Val-Dép'!H40="Crédit-banq" ),'Val-Dép'!AM40,"0")</f>
        <v>0</v>
      </c>
      <c r="R46" s="1100" t="str">
        <f>IF(('Val-Dép'!H40="Crédit-banq"),'Val-Dép'!S40,"0")</f>
        <v>0</v>
      </c>
      <c r="S46" s="1095"/>
    </row>
    <row r="47" spans="2:19" ht="14.4" thickBot="1" x14ac:dyDescent="0.3">
      <c r="B47" s="1099">
        <v>35</v>
      </c>
      <c r="C47" s="1100">
        <f>IF(ISNA(VLOOKUP($D$45,'Val-Dép'!I35:AC35,11,FALSE)),,VLOOKUP($D$45,'Val-Dép'!I35:AC35,11,FALSE))</f>
        <v>0</v>
      </c>
      <c r="D47" s="1101"/>
      <c r="E47" s="1078"/>
      <c r="F47" s="1078"/>
      <c r="G47" s="1099">
        <v>35</v>
      </c>
      <c r="H47" s="1142">
        <f>IF((  'Val-Dép'!I35= "Mobilier" ),'Val-Dép'!Z35,"0")</f>
        <v>0</v>
      </c>
      <c r="I47" s="2699"/>
      <c r="J47" s="1133"/>
      <c r="O47" s="1464"/>
      <c r="P47" s="1072"/>
      <c r="Q47" s="1141" t="str">
        <f>IF(( 'Val-Dép'!H41="Crédit-banq" ),'Val-Dép'!AM41,"0")</f>
        <v>0</v>
      </c>
      <c r="R47" s="1100" t="str">
        <f>IF(('Val-Dép'!H41="Crédit-banq"),'Val-Dép'!S41,"0")</f>
        <v>0</v>
      </c>
      <c r="S47" s="1106"/>
    </row>
    <row r="48" spans="2:19" x14ac:dyDescent="0.25">
      <c r="B48" s="1099">
        <v>36</v>
      </c>
      <c r="C48" s="1100">
        <f>IF(ISNA(VLOOKUP($D$45,'Val-Dép'!I36:AC36,11,FALSE)),,VLOOKUP($D$45,'Val-Dép'!I36:AC36,11,FALSE))</f>
        <v>0</v>
      </c>
      <c r="D48" s="1101"/>
      <c r="E48" s="1078"/>
      <c r="F48" s="1078"/>
      <c r="G48" s="1099">
        <v>36</v>
      </c>
      <c r="H48" s="1143" t="str">
        <f>IF((  'Val-Dép'!I36= "Outillage" ),'Val-Dép'!Z36,"0")</f>
        <v>0</v>
      </c>
      <c r="I48" s="2699"/>
      <c r="J48" s="1133"/>
      <c r="M48" s="1573"/>
      <c r="N48" s="1081"/>
      <c r="O48" s="1464"/>
      <c r="P48" s="1072"/>
      <c r="Q48" s="1141" t="str">
        <f>IF(( 'Val-Dép'!H44="Crédit-banq" ),'Val-Dép'!AM42,"0")</f>
        <v>0</v>
      </c>
      <c r="R48" s="1100" t="str">
        <f>IF(('Val-Dép'!H44="Crédit-banq"),'Val-Dép'!S42,"0")</f>
        <v>0</v>
      </c>
      <c r="S48" s="1072"/>
    </row>
    <row r="49" spans="2:21" x14ac:dyDescent="0.25">
      <c r="B49" s="1099">
        <v>42</v>
      </c>
      <c r="C49" s="1100">
        <f>IF(ISNA(VLOOKUP($D$45,'Val-Dép'!I42:AC42,11,FALSE)),,VLOOKUP($D$45,'Val-Dép'!I42:AC42,11,FALSE))</f>
        <v>0</v>
      </c>
      <c r="D49" s="1101"/>
      <c r="E49" s="1078"/>
      <c r="F49" s="1078"/>
      <c r="G49" s="1099">
        <v>42</v>
      </c>
      <c r="H49" s="1143" t="str">
        <f>IF((  'Val-Dép'!I42= "Outillage" ),'Val-Dép'!Z42,"0")</f>
        <v>0</v>
      </c>
      <c r="I49" s="2700"/>
      <c r="J49" s="1096"/>
      <c r="M49" s="1573"/>
      <c r="N49" s="1081"/>
      <c r="O49" s="1464"/>
      <c r="Q49" s="1141" t="str">
        <f>IF(( 'Val-Dép'!H45="Crédit-banq" ),'Val-Dép'!AM43,"0")</f>
        <v>0</v>
      </c>
      <c r="S49" s="1087"/>
    </row>
    <row r="50" spans="2:21" ht="14.4" thickBot="1" x14ac:dyDescent="0.3">
      <c r="B50" s="1104" t="s">
        <v>362</v>
      </c>
      <c r="C50" s="1100">
        <f>IF(ISNA(VLOOKUP($D$45,'Val-Dép'!I43:AC43,11,FALSE)),,VLOOKUP($D$45,'Val-Dép'!I43:AC43,11,FALSE))</f>
        <v>0</v>
      </c>
      <c r="D50" s="1116">
        <v>0</v>
      </c>
      <c r="E50" s="1133"/>
      <c r="F50" s="1078"/>
      <c r="G50" s="1104" t="s">
        <v>362</v>
      </c>
      <c r="H50" s="1144" t="str">
        <f>IF((  'Val-Dép'!I43= "Outillage" ),'Val-Dép'!Z43,"0")</f>
        <v>0</v>
      </c>
      <c r="I50" s="2701"/>
      <c r="J50" s="1106"/>
      <c r="M50" s="1573"/>
      <c r="N50" s="1081"/>
      <c r="O50" s="1464"/>
      <c r="Q50" s="1141" t="str">
        <f>IF(( 'Val-Dép'!H46="Crédit-banq" ),'Val-Dép'!AM44,"0")</f>
        <v>0</v>
      </c>
    </row>
    <row r="51" spans="2:21" ht="14.4" thickBot="1" x14ac:dyDescent="0.3">
      <c r="B51" s="1104" t="s">
        <v>55</v>
      </c>
      <c r="C51" s="1100">
        <f>IF(ISNA(VLOOKUP($D$45,'Val-Dép'!I44:AC44,11,FALSE)),,VLOOKUP($D$45,'Val-Dép'!I44:AC44,11,FALSE))</f>
        <v>0</v>
      </c>
      <c r="D51" s="1105">
        <v>0</v>
      </c>
      <c r="E51" s="1106"/>
      <c r="F51" s="1078"/>
      <c r="G51" s="1145"/>
      <c r="H51" s="1109">
        <f>SUM(H46:H50)</f>
        <v>0</v>
      </c>
      <c r="I51" s="2694">
        <f>SUM(I44:I50)</f>
        <v>0</v>
      </c>
      <c r="J51" s="1078"/>
      <c r="M51" s="1573"/>
      <c r="N51" s="1081"/>
      <c r="O51" s="1464"/>
      <c r="P51" s="1148"/>
      <c r="Q51" s="1141" t="str">
        <f>IF(( 'Val-Dép'!H47="Crédit-banq" ),'Val-Dép'!AM45,"0")</f>
        <v>0</v>
      </c>
      <c r="R51" s="1149"/>
      <c r="S51" s="1150"/>
    </row>
    <row r="52" spans="2:21" x14ac:dyDescent="0.25">
      <c r="B52" s="1108"/>
      <c r="C52" s="1109">
        <f>SUM(C46:C51)</f>
        <v>0</v>
      </c>
      <c r="D52" s="1110">
        <f>SUM(D47:D51)</f>
        <v>0</v>
      </c>
      <c r="E52" s="1078"/>
      <c r="F52" s="1078"/>
      <c r="I52" s="2698"/>
      <c r="J52" s="1072"/>
      <c r="M52" s="1573"/>
      <c r="N52" s="1081"/>
      <c r="O52" s="1464"/>
      <c r="P52" s="1148"/>
      <c r="Q52" s="1149"/>
      <c r="R52" s="1149"/>
      <c r="S52" s="1150"/>
    </row>
    <row r="53" spans="2:21" ht="14.4" thickBot="1" x14ac:dyDescent="0.3">
      <c r="B53" s="1112" t="s">
        <v>190</v>
      </c>
      <c r="C53" s="1113">
        <f>C52-D52</f>
        <v>0</v>
      </c>
      <c r="G53" s="1112" t="s">
        <v>190</v>
      </c>
      <c r="H53" s="1113">
        <f>H51-I51</f>
        <v>0</v>
      </c>
      <c r="I53" s="2702"/>
      <c r="J53" s="1096"/>
      <c r="M53" s="2166">
        <f>SUM(C53,H53)</f>
        <v>0</v>
      </c>
      <c r="N53" s="2630"/>
      <c r="O53" s="1464"/>
      <c r="P53" s="1148"/>
      <c r="Q53" s="1149"/>
      <c r="R53" s="1149"/>
      <c r="S53" s="1150"/>
    </row>
    <row r="54" spans="2:21" ht="14.4" thickBot="1" x14ac:dyDescent="0.3">
      <c r="I54" s="2702"/>
      <c r="J54" s="1096"/>
      <c r="M54" s="1573"/>
      <c r="N54" s="1081"/>
      <c r="O54" s="1464"/>
      <c r="P54" s="1153"/>
      <c r="Q54" s="1149"/>
      <c r="R54" s="1149"/>
      <c r="S54" s="1150" t="s">
        <v>1677</v>
      </c>
    </row>
    <row r="55" spans="2:21" x14ac:dyDescent="0.25">
      <c r="B55" s="1072"/>
      <c r="C55" s="1073" t="s">
        <v>1626</v>
      </c>
      <c r="D55" s="1072"/>
      <c r="E55" s="1078"/>
      <c r="F55" s="1078"/>
      <c r="G55" s="1072"/>
      <c r="H55" s="1089">
        <v>4114</v>
      </c>
      <c r="I55" s="3604" t="s">
        <v>2049</v>
      </c>
      <c r="J55" s="3604"/>
      <c r="K55" s="1078"/>
      <c r="M55" s="1573"/>
      <c r="N55" s="1081"/>
      <c r="O55" s="1464"/>
      <c r="P55" s="1153"/>
      <c r="Q55" s="1149"/>
      <c r="R55" s="1149"/>
      <c r="S55" s="1150"/>
    </row>
    <row r="56" spans="2:21" ht="16.2" thickBot="1" x14ac:dyDescent="0.35">
      <c r="B56" s="1075" t="s">
        <v>186</v>
      </c>
      <c r="C56" s="1076">
        <v>24000</v>
      </c>
      <c r="D56" s="2854" t="s">
        <v>218</v>
      </c>
      <c r="E56" s="1077" t="s">
        <v>185</v>
      </c>
      <c r="F56" s="1078"/>
      <c r="G56" s="1075" t="s">
        <v>186</v>
      </c>
      <c r="H56" s="1076">
        <v>24000</v>
      </c>
      <c r="I56" s="2853" t="s">
        <v>218</v>
      </c>
      <c r="J56" s="1077" t="s">
        <v>185</v>
      </c>
      <c r="K56" s="1151"/>
      <c r="M56" s="1573"/>
      <c r="N56" s="1081"/>
      <c r="O56" s="1464"/>
      <c r="P56" s="1155"/>
      <c r="Q56" s="1149"/>
      <c r="R56" s="1149"/>
      <c r="S56" s="1156"/>
    </row>
    <row r="57" spans="2:21" ht="14.4" thickBot="1" x14ac:dyDescent="0.3">
      <c r="B57" s="1092" t="s">
        <v>207</v>
      </c>
      <c r="C57" s="3810">
        <f>IF(ISNA(VLOOKUP($D$56,'VAL-INIT'!$D$10:$F$79,3,FALSE)),,VLOOKUP($D$56,'VAL-INIT'!$D$10:$F$79,3,FALSE))</f>
        <v>5000</v>
      </c>
      <c r="D57" s="1132" t="s">
        <v>208</v>
      </c>
      <c r="E57" s="1152"/>
      <c r="F57" s="1078"/>
      <c r="G57" s="1092" t="s">
        <v>207</v>
      </c>
      <c r="K57" s="1072"/>
      <c r="M57" s="1573"/>
      <c r="N57" s="1081"/>
      <c r="O57" s="1464"/>
      <c r="P57" s="1148"/>
      <c r="Q57" s="1148" t="s">
        <v>1996</v>
      </c>
      <c r="R57" s="1150" t="s">
        <v>1997</v>
      </c>
      <c r="S57" s="1156"/>
    </row>
    <row r="58" spans="2:21" x14ac:dyDescent="0.25">
      <c r="B58" s="3603">
        <v>35</v>
      </c>
      <c r="C58" s="3571">
        <f>IF(AND( 'Val-Dép'!AL35="440/550", 'Val-Dép'!I35&lt;&gt;"note de crédit"),VLOOKUP('Val-Dép'!AL35,'Val-Dép'!AL35:AM35,2,FALSE ),"0")</f>
        <v>0</v>
      </c>
      <c r="D58" s="3846">
        <f>IF(ISNA(VLOOKUP(D$56,'Val-Dép'!I35:AC35,11,FALSE)),,VLOOKUP($D$56,'Val-Dép'!I35:AC35,11,FALSE))</f>
        <v>750</v>
      </c>
      <c r="E58" s="1133"/>
      <c r="F58" s="1078"/>
      <c r="G58" s="3603">
        <v>35</v>
      </c>
      <c r="H58" s="1142" t="str">
        <f>IF((  'Val-Dép'!I35= "Outillage" ),'Val-Dép'!Z35,"0")</f>
        <v>0</v>
      </c>
      <c r="I58" s="2696"/>
      <c r="J58" s="1133"/>
      <c r="K58" s="1072"/>
      <c r="M58" s="1573"/>
      <c r="N58" s="1081"/>
      <c r="O58" s="1464"/>
      <c r="Q58" s="1255">
        <f>SUM(Q41:Q56)</f>
        <v>0</v>
      </c>
      <c r="R58" s="1255">
        <f>SUM(R40:R56)</f>
        <v>0</v>
      </c>
    </row>
    <row r="59" spans="2:21" ht="16.2" thickBot="1" x14ac:dyDescent="0.35">
      <c r="B59" s="3603">
        <v>42</v>
      </c>
      <c r="C59" s="3571">
        <f>IF(AND( 'Val-Dép'!AL36="440/550", 'Val-Dép'!I36&lt;&gt;"note de crédit"),VLOOKUP('Val-Dép'!AL36,'Val-Dép'!AL36:AM36,2,FALSE ),"0")</f>
        <v>0</v>
      </c>
      <c r="D59" s="1130">
        <f>IF(ISNA(VLOOKUP(D$56,'Val-Dép'!I36:AC36,11,FALSE)),,VLOOKUP($D$56,'Val-Dép'!I36:AC36,11,FALSE))</f>
        <v>0</v>
      </c>
      <c r="E59" s="1096"/>
      <c r="F59" s="1078"/>
      <c r="G59" s="3603">
        <v>42</v>
      </c>
      <c r="H59" s="1154">
        <f>IF(ISNA(VLOOKUP(I$56,'Val-Dép'!N42:AH42,11,FALSE)),,VLOOKUP($D$56,'Val-Dép'!N42:AH42,11,FALSE))</f>
        <v>0</v>
      </c>
      <c r="I59" s="2703"/>
      <c r="J59" s="1096"/>
      <c r="K59" s="1072"/>
      <c r="M59" s="1573"/>
      <c r="N59" s="1081"/>
      <c r="O59" s="1464"/>
      <c r="Q59" s="2791">
        <f>IF(Q58&gt;R58,Q58-R58,0)</f>
        <v>0</v>
      </c>
      <c r="R59" s="2925">
        <f>IF(Q58&lt;R58,R58-Q58,0)</f>
        <v>0</v>
      </c>
      <c r="S59" s="1075" t="s">
        <v>189</v>
      </c>
    </row>
    <row r="60" spans="2:21" x14ac:dyDescent="0.25">
      <c r="B60" s="3603"/>
      <c r="C60" s="3571" t="str">
        <f>IF(AND( 'Val-Dép'!AL37="440/550", 'Val-Dép'!I37&lt;&gt;"note de crédit"),VLOOKUP('Val-Dép'!AL37,'Val-Dép'!AL37:AM37,2,FALSE ),"0")</f>
        <v>0</v>
      </c>
      <c r="D60" s="1130">
        <f>IF(ISNA(VLOOKUP(D$56,'Val-Dép'!I37:AC37,11,FALSE)),,VLOOKUP($D$56,'Val-Dép'!I37:AC37,11,FALSE))</f>
        <v>0</v>
      </c>
      <c r="E60" s="1096"/>
      <c r="F60" s="1078"/>
      <c r="G60" s="3603"/>
      <c r="H60" s="1154"/>
      <c r="I60" s="2703"/>
      <c r="J60" s="1096"/>
      <c r="K60" s="1072"/>
      <c r="M60" s="1573"/>
      <c r="N60" s="1081"/>
      <c r="O60" s="1464"/>
      <c r="Q60" s="1078"/>
      <c r="R60" s="1165"/>
      <c r="S60" s="1072"/>
    </row>
    <row r="61" spans="2:21" ht="14.4" thickBot="1" x14ac:dyDescent="0.3">
      <c r="B61" s="3602" t="s">
        <v>362</v>
      </c>
      <c r="C61" s="3571" t="str">
        <f>IF(AND( 'Val-Dép'!AL38="440/550", 'Val-Dép'!I38&lt;&gt;"note de crédit"),VLOOKUP('Val-Dép'!AL38,'Val-Dép'!AL38:AM38,2,FALSE ),"0")</f>
        <v>0</v>
      </c>
      <c r="D61" s="1130">
        <f>IF(ISNA(VLOOKUP(D$56,'Val-Dép'!I38:AC38,11,FALSE)),,VLOOKUP($D$56,'Val-Dép'!I38:AC38,11,FALSE))</f>
        <v>0</v>
      </c>
      <c r="E61" s="1106"/>
      <c r="F61" s="1078"/>
      <c r="G61" s="3602" t="s">
        <v>362</v>
      </c>
      <c r="H61" s="1157">
        <f>IF(ISNA(VLOOKUP(I$56,'Val-Dép'!N43:AH43,11,FALSE)),,VLOOKUP($D$56,'Val-Dép'!N43:AH43,11,FALSE))</f>
        <v>0</v>
      </c>
      <c r="I61" s="2697"/>
      <c r="J61" s="1106"/>
      <c r="K61" s="1072"/>
      <c r="L61" s="1072"/>
      <c r="M61" s="2167"/>
      <c r="N61" s="1072"/>
      <c r="O61" s="1464"/>
    </row>
    <row r="62" spans="2:21" ht="14.1" customHeight="1" x14ac:dyDescent="0.25">
      <c r="B62" s="1145"/>
      <c r="C62" s="1109">
        <f>SUM(C57:C61)</f>
        <v>5000</v>
      </c>
      <c r="D62" s="1146">
        <f>SUM(D57:D61)</f>
        <v>750</v>
      </c>
      <c r="E62" s="1078"/>
      <c r="F62" s="1158"/>
      <c r="G62" s="1145"/>
      <c r="H62" s="1109">
        <f>SUM(H57:H61)</f>
        <v>0</v>
      </c>
      <c r="I62" s="2694">
        <f>SUM(I55:I61)</f>
        <v>0</v>
      </c>
      <c r="J62" s="1078"/>
      <c r="K62" s="1072"/>
      <c r="L62" s="1072"/>
      <c r="O62" s="1685"/>
      <c r="S62" s="1087"/>
    </row>
    <row r="63" spans="2:21" ht="14.1" customHeight="1" thickBot="1" x14ac:dyDescent="0.35">
      <c r="B63" s="1159" t="s">
        <v>190</v>
      </c>
      <c r="C63" s="1160">
        <f>$C$62-$D$62</f>
        <v>4250</v>
      </c>
      <c r="D63" s="1078"/>
      <c r="E63" s="1078"/>
      <c r="F63" s="1158"/>
      <c r="G63" s="1159"/>
      <c r="H63" s="1113">
        <f>H62-I62</f>
        <v>0</v>
      </c>
      <c r="I63" s="2698"/>
      <c r="J63" s="1161"/>
      <c r="K63" s="1072"/>
      <c r="L63" s="1072"/>
      <c r="M63" s="2166">
        <f>SUM(C63,H63)</f>
        <v>4250</v>
      </c>
      <c r="N63" s="2630"/>
      <c r="O63" s="1685"/>
      <c r="S63" s="1087"/>
      <c r="T63" s="1081"/>
      <c r="U63" s="1081"/>
    </row>
    <row r="64" spans="2:21" ht="14.1" customHeight="1" x14ac:dyDescent="0.3">
      <c r="B64" s="1162"/>
      <c r="C64" s="1163"/>
      <c r="D64" s="1078"/>
      <c r="E64" s="1078"/>
      <c r="F64" s="1158"/>
      <c r="G64" s="1162"/>
      <c r="H64" s="1164"/>
      <c r="I64" s="2698"/>
      <c r="J64" s="1161"/>
      <c r="K64" s="1072"/>
      <c r="L64" s="1072"/>
      <c r="M64" s="2167"/>
      <c r="N64" s="1072"/>
      <c r="O64" s="1685"/>
      <c r="T64" s="1081"/>
    </row>
    <row r="65" spans="2:21" ht="14.1" customHeight="1" x14ac:dyDescent="0.25">
      <c r="B65" s="1078"/>
      <c r="C65" s="1078"/>
      <c r="D65" s="1078"/>
      <c r="E65" s="1078"/>
      <c r="F65" s="1078"/>
      <c r="G65" s="1166"/>
      <c r="H65" s="1167"/>
      <c r="I65" s="2703"/>
      <c r="J65" s="1072"/>
      <c r="K65" s="1072"/>
      <c r="L65" s="1072"/>
      <c r="M65" s="2167"/>
      <c r="N65" s="1072"/>
      <c r="O65" s="1685"/>
      <c r="S65" s="1087"/>
      <c r="T65" s="1081"/>
    </row>
    <row r="66" spans="2:21" ht="14.1" customHeight="1" x14ac:dyDescent="0.25">
      <c r="O66" s="1685"/>
      <c r="S66" s="1087"/>
      <c r="T66" s="1168"/>
    </row>
    <row r="67" spans="2:21" ht="14.1" customHeight="1" thickBot="1" x14ac:dyDescent="0.3">
      <c r="O67" s="1685"/>
      <c r="T67" s="1168"/>
    </row>
    <row r="68" spans="2:21" ht="14.1" customHeight="1" x14ac:dyDescent="0.25">
      <c r="B68" s="1078"/>
      <c r="C68" s="1073" t="s">
        <v>1626</v>
      </c>
      <c r="D68" s="1078"/>
      <c r="E68" s="1078"/>
      <c r="F68" s="1078"/>
      <c r="G68" s="1166"/>
      <c r="H68" s="1089">
        <v>4114</v>
      </c>
      <c r="I68" s="4199" t="s">
        <v>2049</v>
      </c>
      <c r="J68" s="4199"/>
      <c r="K68" s="1072"/>
      <c r="L68" s="1072"/>
      <c r="M68" s="2167"/>
      <c r="N68" s="1072"/>
      <c r="O68" s="1685"/>
      <c r="T68" s="1168"/>
    </row>
    <row r="69" spans="2:21" ht="14.1" customHeight="1" thickBot="1" x14ac:dyDescent="0.3">
      <c r="B69" s="1075" t="s">
        <v>186</v>
      </c>
      <c r="C69" s="1076">
        <v>24100</v>
      </c>
      <c r="D69" s="2174" t="s">
        <v>2332</v>
      </c>
      <c r="E69" s="1077" t="s">
        <v>185</v>
      </c>
      <c r="F69" s="1078"/>
      <c r="G69" s="1075" t="s">
        <v>186</v>
      </c>
      <c r="H69" s="1076">
        <v>24100</v>
      </c>
      <c r="I69" s="2695" t="s">
        <v>1698</v>
      </c>
      <c r="J69" s="1077" t="s">
        <v>185</v>
      </c>
      <c r="K69" s="1072"/>
      <c r="L69" s="1072"/>
      <c r="M69" s="2167"/>
      <c r="N69" s="1072"/>
      <c r="O69" s="1685"/>
      <c r="T69" s="1168"/>
    </row>
    <row r="70" spans="2:21" ht="14.1" customHeight="1" thickBot="1" x14ac:dyDescent="0.3">
      <c r="B70" s="1092" t="s">
        <v>207</v>
      </c>
      <c r="C70" s="1091">
        <f>IF(ISNA(VLOOKUP($D$69,'VAL-INIT'!$D$5:$F$87,3,FALSE)),,VLOOKUP($D$69,'VAL-INIT'!$D$5:$F$87,3,FALSE))</f>
        <v>0</v>
      </c>
      <c r="D70" s="1132" t="s">
        <v>208</v>
      </c>
      <c r="E70" s="1152"/>
      <c r="F70" s="1078"/>
      <c r="G70" s="1092" t="s">
        <v>207</v>
      </c>
      <c r="K70" s="1072"/>
      <c r="L70" s="1072"/>
      <c r="M70" s="2167"/>
      <c r="N70" s="1072"/>
      <c r="O70" s="1685"/>
      <c r="T70" s="1168"/>
    </row>
    <row r="71" spans="2:21" ht="14.1" customHeight="1" x14ac:dyDescent="0.25">
      <c r="B71" s="1099">
        <v>35</v>
      </c>
      <c r="C71" s="1100">
        <f>IF(ISNA(VLOOKUP(D$69,'Val-Dép'!I35:AC35,11,FALSE)),,VLOOKUP($D$69,'Val-Dép'!I35:AC35,11,FALSE))</f>
        <v>0</v>
      </c>
      <c r="D71" s="1130"/>
      <c r="E71" s="1133"/>
      <c r="F71" s="1078"/>
      <c r="G71" s="1099">
        <v>35</v>
      </c>
      <c r="H71" s="1142" t="str">
        <f>IF((  'Val-Dép'!I35= "Matériel roulant" ),'Val-Dép'!Z35,"0")</f>
        <v>0</v>
      </c>
      <c r="I71" s="2696"/>
      <c r="J71" s="1133"/>
      <c r="K71" s="1072"/>
      <c r="L71" s="1072"/>
      <c r="M71" s="2167"/>
      <c r="N71" s="1072"/>
      <c r="O71" s="1685"/>
    </row>
    <row r="72" spans="2:21" ht="14.1" customHeight="1" x14ac:dyDescent="0.25">
      <c r="B72" s="1099">
        <v>36</v>
      </c>
      <c r="C72" s="1100">
        <f>IF(ISNA(VLOOKUP(D$69,'Val-Dép'!I36:AC36,11,FALSE)),,VLOOKUP($D$69,'Val-Dép'!I36:AC36,11,FALSE))</f>
        <v>0</v>
      </c>
      <c r="D72" s="1130"/>
      <c r="E72" s="1133"/>
      <c r="F72" s="1078"/>
      <c r="G72" s="1099">
        <v>36</v>
      </c>
      <c r="H72" s="1143" t="str">
        <f>IF((  'Val-Dép'!I36= "Matériel roulant" ),'Val-Dép'!Z36,"0")</f>
        <v>0</v>
      </c>
      <c r="I72" s="2696"/>
      <c r="J72" s="1133"/>
      <c r="K72" s="1072"/>
      <c r="L72" s="1072"/>
      <c r="M72" s="2167"/>
      <c r="N72" s="1072"/>
      <c r="O72" s="1685"/>
    </row>
    <row r="73" spans="2:21" ht="14.1" customHeight="1" x14ac:dyDescent="0.25">
      <c r="B73" s="1169" t="s">
        <v>362</v>
      </c>
      <c r="C73" s="1100">
        <f>IF(ISNA(VLOOKUP(D$69,'Val-Dép'!I43:AC43,11,FALSE)),,VLOOKUP($D$69,'Val-Dép'!I43:AC43,11,FALSE))</f>
        <v>0</v>
      </c>
      <c r="D73" s="1170"/>
      <c r="E73" s="1171"/>
      <c r="F73" s="1162"/>
      <c r="G73" s="1169" t="s">
        <v>362</v>
      </c>
      <c r="H73" s="1143" t="str">
        <f>IF((  'Val-Dép'!I43= "Matériel roulant" ),'Val-Dép'!Z43,"0")</f>
        <v>0</v>
      </c>
      <c r="I73" s="2704"/>
      <c r="J73" s="1171"/>
      <c r="K73" s="1072"/>
      <c r="L73" s="1072"/>
      <c r="M73" s="2167"/>
      <c r="N73" s="1072"/>
      <c r="O73" s="1685"/>
      <c r="Q73" s="1184" t="s">
        <v>1874</v>
      </c>
      <c r="R73" s="1184" t="s">
        <v>1872</v>
      </c>
    </row>
    <row r="74" spans="2:21" ht="14.1" customHeight="1" thickBot="1" x14ac:dyDescent="0.3">
      <c r="B74" s="1169"/>
      <c r="C74" s="1100">
        <f>IF(ISNA(VLOOKUP(D$69,'Val-Dép'!I44:AC44,11,FALSE)),,VLOOKUP($D$69,'Val-Dép'!I44:AC44,11,FALSE))</f>
        <v>0</v>
      </c>
      <c r="D74" s="1170"/>
      <c r="E74" s="1171"/>
      <c r="F74" s="1162"/>
      <c r="G74" s="1169"/>
      <c r="H74" s="1144" t="str">
        <f>IF((  'Val-Dép'!I44= "Matériel roulant" ),'Val-Dép'!Z44,"0")</f>
        <v>0</v>
      </c>
      <c r="I74" s="2704"/>
      <c r="J74" s="1171"/>
      <c r="K74" s="1078"/>
      <c r="L74" s="1072"/>
      <c r="M74" s="2167"/>
      <c r="N74" s="1072"/>
      <c r="O74" s="1685"/>
      <c r="P74" s="1120" t="s">
        <v>195</v>
      </c>
      <c r="Q74" s="1139">
        <v>173</v>
      </c>
      <c r="R74" s="1121" t="s">
        <v>1876</v>
      </c>
      <c r="S74" s="1122" t="s">
        <v>193</v>
      </c>
    </row>
    <row r="75" spans="2:21" ht="14.1" customHeight="1" x14ac:dyDescent="0.25">
      <c r="B75" s="1172"/>
      <c r="C75" s="1173">
        <f>SUM(C70:C74)</f>
        <v>0</v>
      </c>
      <c r="D75" s="1174">
        <f>SUM(D71:D74)</f>
        <v>0</v>
      </c>
      <c r="E75" s="1162"/>
      <c r="F75" s="1162"/>
      <c r="G75" s="1172"/>
      <c r="H75" s="1173">
        <f>SUM(H70:H74)</f>
        <v>0</v>
      </c>
      <c r="I75" s="2705">
        <f>SUM(I71:I74)</f>
        <v>0</v>
      </c>
      <c r="J75" s="1162"/>
      <c r="K75" s="1078"/>
      <c r="L75" s="1072"/>
      <c r="M75" s="2167"/>
      <c r="N75" s="1072"/>
      <c r="O75" s="1685"/>
      <c r="P75" s="1123"/>
      <c r="Q75" s="1124" t="s">
        <v>223</v>
      </c>
      <c r="R75" s="1091"/>
      <c r="S75" s="1125" t="s">
        <v>207</v>
      </c>
    </row>
    <row r="76" spans="2:21" ht="14.1" customHeight="1" thickBot="1" x14ac:dyDescent="0.35">
      <c r="B76" s="1159" t="s">
        <v>190</v>
      </c>
      <c r="C76" s="2162">
        <f>$C$75-$D$75</f>
        <v>0</v>
      </c>
      <c r="D76" s="1175"/>
      <c r="E76" s="1162"/>
      <c r="F76" s="1081"/>
      <c r="G76" s="1081"/>
      <c r="H76" s="1113">
        <f>H75-I75</f>
        <v>0</v>
      </c>
      <c r="I76" s="2706"/>
      <c r="J76" s="1081"/>
      <c r="K76" s="1072"/>
      <c r="L76" s="1072"/>
      <c r="M76" s="2166">
        <f>SUM(C76,H76)</f>
        <v>0</v>
      </c>
      <c r="N76" s="2630"/>
      <c r="O76" s="1685"/>
      <c r="P76" s="1072"/>
      <c r="Q76" s="1141" t="str">
        <f>IF(( 'Val-Dép'!H35="Crédit-post" ),'Val-Dép'!AM35,"0")</f>
        <v>0</v>
      </c>
      <c r="R76" s="1100" t="str">
        <f>IF(('Val-Dép'!H35="Crédit-post"),'Val-Dép'!S35,"0")</f>
        <v>0</v>
      </c>
      <c r="S76" s="1095"/>
    </row>
    <row r="77" spans="2:21" ht="14.1" customHeight="1" thickBot="1" x14ac:dyDescent="0.35">
      <c r="B77" s="1162"/>
      <c r="C77" s="1176"/>
      <c r="D77" s="1175"/>
      <c r="E77" s="1162"/>
      <c r="F77" s="1081"/>
      <c r="G77" s="1081"/>
      <c r="H77" s="1177"/>
      <c r="I77" s="2706"/>
      <c r="J77" s="1081"/>
      <c r="K77" s="1072"/>
      <c r="L77" s="1072"/>
      <c r="M77" s="2167"/>
      <c r="N77" s="1072"/>
      <c r="O77" s="1685"/>
      <c r="P77" s="1072"/>
      <c r="Q77" s="1141" t="str">
        <f>IF(( 'Val-Dép'!H38="Crédit-post" ),'Val-Dép'!#REF!,"0")</f>
        <v>0</v>
      </c>
      <c r="R77" s="1100" t="str">
        <f>IF(('Val-Dép'!H38="Crédit-post"),'Val-Dép'!S36,"0")</f>
        <v>0</v>
      </c>
      <c r="S77" s="1095"/>
      <c r="U77" s="1179"/>
    </row>
    <row r="78" spans="2:21" ht="14.1" customHeight="1" x14ac:dyDescent="0.3">
      <c r="B78" s="1162"/>
      <c r="C78" s="1178"/>
      <c r="D78" s="1175"/>
      <c r="E78" s="1162"/>
      <c r="F78" s="1081"/>
      <c r="G78" s="1081"/>
      <c r="H78" s="1089">
        <v>4114</v>
      </c>
      <c r="I78" s="4199" t="s">
        <v>2049</v>
      </c>
      <c r="J78" s="4199"/>
      <c r="K78" s="1072"/>
      <c r="L78" s="1072"/>
      <c r="M78" s="2167"/>
      <c r="N78" s="1072"/>
      <c r="O78" s="1685"/>
      <c r="P78" s="1072"/>
      <c r="Q78" s="1141" t="str">
        <f>IF(( 'Val-Dép'!H39="Crédit-post" ),'Val-Dép'!AM37,"0")</f>
        <v>0</v>
      </c>
      <c r="R78" s="1100" t="str">
        <f>IF(('Val-Dép'!H39="Crédit-post"),'Val-Dép'!S37,"0")</f>
        <v>0</v>
      </c>
      <c r="S78" s="1095"/>
      <c r="U78" s="1081"/>
    </row>
    <row r="79" spans="2:21" ht="14.1" customHeight="1" thickBot="1" x14ac:dyDescent="0.35">
      <c r="B79" s="1180" t="s">
        <v>186</v>
      </c>
      <c r="C79" s="1181">
        <v>36000</v>
      </c>
      <c r="D79" s="3845" t="s">
        <v>170</v>
      </c>
      <c r="E79" s="1183" t="s">
        <v>185</v>
      </c>
      <c r="F79" s="1081"/>
      <c r="G79" s="1180" t="s">
        <v>186</v>
      </c>
      <c r="H79" s="1181">
        <v>36000</v>
      </c>
      <c r="I79" s="2707" t="s">
        <v>170</v>
      </c>
      <c r="J79" s="1183" t="s">
        <v>185</v>
      </c>
      <c r="K79" s="1096"/>
      <c r="L79" s="1072"/>
      <c r="M79" s="2167"/>
      <c r="N79" s="1072"/>
      <c r="O79" s="1685"/>
      <c r="P79" s="1072"/>
      <c r="Q79" s="1141" t="str">
        <f>IF(( 'Val-Dép'!H40="Crédit-post" ),'Val-Dép'!AM39,"0")</f>
        <v>0</v>
      </c>
      <c r="R79" s="1100" t="str">
        <f>IF(('Val-Dép'!H40="Crédit-post"),'Val-Dép'!S38,"0")</f>
        <v>0</v>
      </c>
      <c r="S79" s="1095"/>
      <c r="U79" s="1081"/>
    </row>
    <row r="80" spans="2:21" ht="14.1" customHeight="1" thickBot="1" x14ac:dyDescent="0.3">
      <c r="B80" s="1185" t="s">
        <v>207</v>
      </c>
      <c r="C80" s="3844">
        <f>IF(ISNA(VLOOKUP($D$79,'VAL-INIT'!$D$10:$F$88,3,FALSE)),,VLOOKUP($D$79,'VAL-INIT'!$D$10:$F$88,3,FALSE))</f>
        <v>15000</v>
      </c>
      <c r="D80" s="1186" t="s">
        <v>208</v>
      </c>
      <c r="E80" s="1187"/>
      <c r="F80" s="1081"/>
      <c r="G80" s="1185" t="s">
        <v>207</v>
      </c>
      <c r="H80" s="1091"/>
      <c r="I80" s="2708" t="s">
        <v>208</v>
      </c>
      <c r="J80" s="1187"/>
      <c r="K80" s="1096"/>
      <c r="L80" s="1072"/>
      <c r="M80" s="2167"/>
      <c r="N80" s="1072"/>
      <c r="O80" s="1685"/>
      <c r="P80" s="1072"/>
      <c r="Q80" s="1141" t="str">
        <f>IF(( 'Val-Dép'!H41="Crédit-post" ),'Val-Dép'!AM40,"0")</f>
        <v>0</v>
      </c>
      <c r="R80" s="1100" t="str">
        <f>IF(('Val-Dép'!H41="Crédit-post"),'Val-Dép'!S39,"0")</f>
        <v>0</v>
      </c>
      <c r="S80" s="1095"/>
      <c r="U80" s="1162"/>
    </row>
    <row r="81" spans="2:33" ht="14.1" customHeight="1" x14ac:dyDescent="0.25">
      <c r="B81" s="1188">
        <v>35</v>
      </c>
      <c r="C81" s="1189">
        <f>IF(AND( 'Val-Dép'!AL35="440/550", 'Val-Dép'!I35&lt;&gt;"note de crédit"),VLOOKUP('Val-Dép'!AL35,'Val-Dép'!AL35:AM35,2,FALSE ),"0")</f>
        <v>0</v>
      </c>
      <c r="D81" s="2593">
        <f>IF(ISNA(VLOOKUP(D$79,'Val-Dép'!I35:AC35,11,FALSE)),,VLOOKUP($D$79,'Val-Dép'!I35:AC35,11,FALSE))</f>
        <v>0</v>
      </c>
      <c r="E81" s="1171"/>
      <c r="F81" s="1081"/>
      <c r="G81" s="1188">
        <v>35</v>
      </c>
      <c r="H81" s="1142" t="str">
        <f>IF((  'Val-Dép'!I35= "Stocks" ),'Val-Dép'!Z35,"0")</f>
        <v>0</v>
      </c>
      <c r="I81" s="2709"/>
      <c r="J81" s="1171"/>
      <c r="K81" s="1096"/>
      <c r="L81" s="1072"/>
      <c r="M81" s="2167"/>
      <c r="N81" s="1072"/>
      <c r="O81" s="1685"/>
      <c r="P81" s="1072"/>
      <c r="Q81" s="1141" t="str">
        <f>IF(( 'Val-Dép'!H42="Crédit-post" ),'Val-Dép'!#REF!,"0")</f>
        <v>0</v>
      </c>
      <c r="R81" s="1100" t="str">
        <f>IF(('Val-Dép'!H42="Crédit-post"),'Val-Dép'!S40,"0")</f>
        <v>0</v>
      </c>
      <c r="S81" s="1095"/>
      <c r="U81" s="1081"/>
      <c r="V81" s="1081"/>
      <c r="W81" s="1081"/>
      <c r="X81" s="1081"/>
      <c r="Y81" s="1081"/>
      <c r="Z81" s="1081"/>
      <c r="AA81" s="1081"/>
    </row>
    <row r="82" spans="2:33" ht="14.1" customHeight="1" thickBot="1" x14ac:dyDescent="0.6">
      <c r="B82" s="1188">
        <v>36</v>
      </c>
      <c r="C82" s="1189">
        <f>IF(AND( 'Val-Dép'!AL36="440/550", 'Val-Dép'!I36&lt;&gt;"note de crédit"),VLOOKUP('Val-Dép'!AL36,'Val-Dép'!AL36:AM36,2,FALSE ),"0")</f>
        <v>0</v>
      </c>
      <c r="D82" s="3822">
        <f>IF(ISNA(VLOOKUP(D$79,'Val-Dép'!I36:AC36,11,FALSE)),,VLOOKUP($D$79,'Val-Dép'!I36:AC36,11,FALSE))</f>
        <v>5000</v>
      </c>
      <c r="E82" s="1171"/>
      <c r="F82" s="1081"/>
      <c r="G82" s="1188">
        <v>36</v>
      </c>
      <c r="H82" s="1143">
        <f>IF((  'Val-Dép'!I36= "Stocks" ),'Val-Dép'!Z36,"0")</f>
        <v>0</v>
      </c>
      <c r="I82" s="2709"/>
      <c r="J82" s="1171"/>
      <c r="K82" s="1096"/>
      <c r="L82" s="1072"/>
      <c r="O82" s="1685"/>
      <c r="P82" s="1072"/>
      <c r="Q82" s="1141" t="str">
        <f>IF(( 'Val-Dép'!H43="Crédit-post" ),'Val-Dép'!AM41,"0")</f>
        <v>0</v>
      </c>
      <c r="R82" s="1100" t="str">
        <f>IF(('Val-Dép'!H43="Crédit-post"),'Val-Dép'!S41,"0")</f>
        <v>0</v>
      </c>
      <c r="S82" s="1106"/>
      <c r="U82" s="1081"/>
      <c r="V82" s="1192" t="s">
        <v>222</v>
      </c>
      <c r="W82" s="1192"/>
      <c r="X82" s="1192"/>
      <c r="Y82" s="1192"/>
      <c r="Z82" s="1192"/>
      <c r="AA82" s="1192"/>
      <c r="AB82" s="1192"/>
      <c r="AC82" s="1192"/>
      <c r="AD82" s="1192"/>
      <c r="AE82" s="1192"/>
      <c r="AF82" s="1192"/>
      <c r="AG82" s="1162"/>
    </row>
    <row r="83" spans="2:33" ht="14.1" customHeight="1" x14ac:dyDescent="0.25">
      <c r="B83" s="1188">
        <v>37</v>
      </c>
      <c r="C83" s="1189" t="str">
        <f>IF(AND( 'Val-Dép'!AL37="440/550", 'Val-Dép'!I37&lt;&gt;"note de crédit"),VLOOKUP('Val-Dép'!AL37,'Val-Dép'!AL37:AM37,2,FALSE ),"0")</f>
        <v>0</v>
      </c>
      <c r="D83" s="2593">
        <f>IF(ISNA(VLOOKUP(D$79,'Val-Dép'!I37:AC37,11,FALSE)),,VLOOKUP($D$79,'Val-Dép'!I37:AC37,11,FALSE))</f>
        <v>0</v>
      </c>
      <c r="E83" s="1171"/>
      <c r="F83" s="1081"/>
      <c r="G83" s="1188">
        <v>37</v>
      </c>
      <c r="H83" s="1143" t="str">
        <f>IF((  'Val-Dép'!I37= "Stocks" ),'Val-Dép'!Z37,"0")</f>
        <v>0</v>
      </c>
      <c r="I83" s="2709"/>
      <c r="J83" s="1171"/>
      <c r="K83" s="1096"/>
      <c r="L83" s="1191"/>
      <c r="M83" s="2167"/>
      <c r="N83" s="1072"/>
      <c r="O83" s="1685"/>
      <c r="P83" s="1072"/>
      <c r="Q83" s="1141" t="str">
        <f>IF(( 'Val-Dép'!H44="Crédit-post" ),'Val-Dép'!AM42,"0")</f>
        <v>0</v>
      </c>
      <c r="R83" s="1100" t="str">
        <f>IF(('Val-Dép'!H44="Crédit-post"),'Val-Dép'!S42,"0")</f>
        <v>0</v>
      </c>
      <c r="S83" s="1072"/>
      <c r="U83" s="1081"/>
      <c r="V83" s="1193" t="s">
        <v>221</v>
      </c>
      <c r="W83" s="1193"/>
      <c r="X83" s="1193"/>
      <c r="Y83" s="1193"/>
      <c r="Z83" s="1193"/>
      <c r="AA83" s="1193"/>
      <c r="AB83" s="1193"/>
      <c r="AC83" s="1193"/>
      <c r="AD83" s="1193"/>
      <c r="AE83" s="1193"/>
      <c r="AF83" s="1193"/>
      <c r="AG83" s="1162"/>
    </row>
    <row r="84" spans="2:33" ht="14.1" customHeight="1" thickBot="1" x14ac:dyDescent="0.3">
      <c r="B84" s="1188">
        <v>38</v>
      </c>
      <c r="C84" s="1189" t="str">
        <f>IF(AND( 'Val-Dép'!AL38="440/550", 'Val-Dép'!I38&lt;&gt;"note de crédit"),VLOOKUP('Val-Dép'!AL38,'Val-Dép'!AL38:AM38,2,FALSE ),"0")</f>
        <v>0</v>
      </c>
      <c r="D84" s="2593">
        <f>IF(ISNA(VLOOKUP(D$79,'Val-Dép'!I38:AC38,11,FALSE)),,VLOOKUP($D$79,'Val-Dép'!I38:AC38,11,FALSE))</f>
        <v>0</v>
      </c>
      <c r="E84" s="1171"/>
      <c r="F84" s="1081"/>
      <c r="G84" s="1188">
        <v>38</v>
      </c>
      <c r="H84" s="1143" t="str">
        <f>IF((  'Val-Dép'!I38= "Stocks" ),'Val-Dép'!Z38,"0")</f>
        <v>0</v>
      </c>
      <c r="I84" s="2704"/>
      <c r="J84" s="1171"/>
      <c r="K84" s="1096"/>
      <c r="L84" s="1072"/>
      <c r="M84" s="2167"/>
      <c r="N84" s="1072"/>
      <c r="O84" s="1685"/>
      <c r="P84" s="1072"/>
      <c r="Q84" s="1078">
        <f>SUM(Q76:Q83)</f>
        <v>0</v>
      </c>
      <c r="R84" s="1118">
        <f>SUM(R75:R83)</f>
        <v>0</v>
      </c>
      <c r="S84" s="1075" t="s">
        <v>189</v>
      </c>
      <c r="U84" s="1081"/>
      <c r="V84" s="1192" t="s">
        <v>220</v>
      </c>
      <c r="W84" s="1192"/>
      <c r="X84" s="1192"/>
      <c r="Y84" s="1192"/>
      <c r="Z84" s="1192"/>
      <c r="AA84" s="1192"/>
      <c r="AB84" s="1192"/>
      <c r="AC84" s="1192"/>
      <c r="AD84" s="1192"/>
      <c r="AE84" s="1192"/>
      <c r="AF84" s="1192"/>
      <c r="AG84" s="1162"/>
    </row>
    <row r="85" spans="2:33" ht="14.1" customHeight="1" x14ac:dyDescent="0.25">
      <c r="B85" s="1188">
        <v>39</v>
      </c>
      <c r="C85" s="1189" t="str">
        <f>IF(AND( 'Val-Dép'!AL39="440/550", 'Val-Dép'!I39&lt;&gt;"note de crédit"),VLOOKUP('Val-Dép'!AL39,'Val-Dép'!AL39:AM39,2,FALSE ),"0")</f>
        <v>0</v>
      </c>
      <c r="D85" s="2593">
        <f>IF(ISNA(VLOOKUP(D$79,'Val-Dép'!I39:AC39,11,FALSE)),,VLOOKUP($D$79,'Val-Dép'!I39:AC39,11,FALSE))</f>
        <v>0</v>
      </c>
      <c r="E85" s="1171"/>
      <c r="F85" s="1081"/>
      <c r="G85" s="1188">
        <v>39</v>
      </c>
      <c r="H85" s="1143" t="str">
        <f>IF((  'Val-Dép'!I39= "Stocks" ),'Val-Dép'!Z39,"0")</f>
        <v>0</v>
      </c>
      <c r="I85" s="2704"/>
      <c r="J85" s="1171"/>
      <c r="K85" s="1096"/>
      <c r="L85" s="1072"/>
      <c r="M85" s="2167"/>
      <c r="N85" s="1072"/>
      <c r="O85" s="1685"/>
      <c r="P85" s="1096"/>
      <c r="Q85" s="1147"/>
      <c r="R85" s="1096"/>
      <c r="S85" s="1072"/>
      <c r="U85" s="1081"/>
      <c r="AD85" s="1081"/>
      <c r="AE85" s="1081"/>
      <c r="AF85" s="1081"/>
      <c r="AG85" s="1162"/>
    </row>
    <row r="86" spans="2:33" ht="14.1" customHeight="1" x14ac:dyDescent="0.25">
      <c r="B86" s="1188">
        <v>40</v>
      </c>
      <c r="C86" s="1189" t="str">
        <f>IF(AND( 'Val-Dép'!AL40="440/550", 'Val-Dép'!I40&lt;&gt;"note de crédit"),VLOOKUP('Val-Dép'!AL40,'Val-Dép'!AL40:AM40,2,FALSE ),"0")</f>
        <v>0</v>
      </c>
      <c r="D86" s="2593">
        <f>IF(ISNA(VLOOKUP(D$79,'Val-Dép'!I40:AC40,11,FALSE)),,VLOOKUP($D$79,'Val-Dép'!I40:AC40,11,FALSE))</f>
        <v>0</v>
      </c>
      <c r="E86" s="1171"/>
      <c r="F86" s="1081"/>
      <c r="G86" s="1188">
        <v>40</v>
      </c>
      <c r="H86" s="1143" t="str">
        <f>IF((  'Val-Dép'!I40= "Stocks" ),'Val-Dép'!Z40,"0")</f>
        <v>0</v>
      </c>
      <c r="I86" s="2704"/>
      <c r="J86" s="1171"/>
      <c r="K86" s="1096"/>
      <c r="L86" s="1072"/>
      <c r="M86" s="2167"/>
      <c r="N86" s="1072"/>
      <c r="O86" s="1685"/>
      <c r="P86" s="1096"/>
      <c r="Q86" s="1147"/>
      <c r="R86" s="1072"/>
      <c r="S86" s="1072"/>
      <c r="U86" s="1081"/>
      <c r="V86" s="4210" t="s">
        <v>219</v>
      </c>
      <c r="W86" s="4211"/>
      <c r="X86" s="4211"/>
      <c r="Y86" s="4211"/>
      <c r="Z86" s="4211"/>
      <c r="AA86" s="4211"/>
      <c r="AB86" s="4211"/>
      <c r="AC86" s="4211"/>
      <c r="AD86" s="4211"/>
      <c r="AE86" s="4211"/>
      <c r="AF86" s="4211"/>
      <c r="AG86" s="4212"/>
    </row>
    <row r="87" spans="2:33" ht="14.1" customHeight="1" x14ac:dyDescent="0.25">
      <c r="B87" s="1188">
        <v>41</v>
      </c>
      <c r="C87" s="1189" t="str">
        <f>IF(AND( 'Val-Dép'!AL41="440/550", 'Val-Dép'!I41&lt;&gt;"note de crédit"),VLOOKUP('Val-Dép'!AL41,'Val-Dép'!AL41:AM41,2,FALSE ),"0")</f>
        <v>0</v>
      </c>
      <c r="D87" s="2593">
        <f>IF(ISNA(VLOOKUP(D$79,'Val-Dép'!I41:AC41,11,FALSE)),,VLOOKUP($D$79,'Val-Dép'!I41:AC41,11,FALSE))</f>
        <v>0</v>
      </c>
      <c r="E87" s="1171"/>
      <c r="F87" s="1081"/>
      <c r="G87" s="1188">
        <v>41</v>
      </c>
      <c r="H87" s="1143" t="str">
        <f>IF((  'Val-Dép'!I41= "Stocks" ),'Val-Dép'!Z41,"0")</f>
        <v>0</v>
      </c>
      <c r="I87" s="2704"/>
      <c r="J87" s="1171"/>
      <c r="K87" s="1096"/>
      <c r="L87" s="1072"/>
      <c r="M87" s="2167"/>
      <c r="N87" s="1072"/>
      <c r="O87" s="1685"/>
      <c r="P87" s="1096"/>
      <c r="Q87" s="1203"/>
      <c r="R87" s="1096"/>
      <c r="S87" s="1078"/>
      <c r="U87" s="1081"/>
      <c r="AD87" s="1081"/>
      <c r="AE87" s="1081"/>
      <c r="AF87" s="1081"/>
      <c r="AG87" s="1162"/>
    </row>
    <row r="88" spans="2:33" ht="14.1" customHeight="1" x14ac:dyDescent="0.25">
      <c r="B88" s="1188">
        <v>42</v>
      </c>
      <c r="C88" s="1189" t="str">
        <f>IF(AND( 'Val-Dép'!AL42="440/550", 'Val-Dép'!I42&lt;&gt;"note de crédit"),VLOOKUP('Val-Dép'!AL42,'Val-Dép'!AL42:AM42,2,FALSE ),"0")</f>
        <v>0</v>
      </c>
      <c r="D88" s="2593">
        <f>IF(ISNA(VLOOKUP(D$79,'Val-Dép'!I42:AC42,11,FALSE)),,VLOOKUP($D$79,'Val-Dép'!I42:AC42,11,FALSE))</f>
        <v>0</v>
      </c>
      <c r="E88" s="1171"/>
      <c r="F88" s="1081"/>
      <c r="G88" s="1188">
        <v>42</v>
      </c>
      <c r="H88" s="1143" t="str">
        <f>IF((  'Val-Dép'!I42= "Stocks" ),'Val-Dép'!Z42,"0")</f>
        <v>0</v>
      </c>
      <c r="I88" s="2704"/>
      <c r="J88" s="1171"/>
      <c r="K88" s="1096"/>
      <c r="L88" s="1072"/>
      <c r="M88" s="2167"/>
      <c r="N88" s="1072"/>
      <c r="O88" s="1685"/>
      <c r="Q88" s="1205" t="s">
        <v>1875</v>
      </c>
      <c r="R88" s="1205" t="s">
        <v>1872</v>
      </c>
      <c r="U88" s="1081"/>
      <c r="V88" s="1081"/>
      <c r="W88" s="1081"/>
      <c r="X88" s="1081"/>
      <c r="Y88" s="1081"/>
      <c r="Z88" s="1081"/>
      <c r="AA88" s="1081"/>
    </row>
    <row r="89" spans="2:33" ht="14.1" customHeight="1" thickBot="1" x14ac:dyDescent="0.3">
      <c r="B89" s="1194" t="s">
        <v>362</v>
      </c>
      <c r="C89" s="1189" t="str">
        <f>IF(AND( 'Val-Dép'!AL43="440/550", 'Val-Dép'!I43&lt;&gt;"note de crédit"),VLOOKUP('Val-Dép'!AL43,'Val-Dép'!AL43:AM43,2,FALSE ),"0")</f>
        <v>0</v>
      </c>
      <c r="D89" s="2593">
        <f>IF(ISNA(VLOOKUP(D$79,'Val-Dép'!I43:AC43,11,FALSE)),,VLOOKUP($D$79,'Val-Dép'!I43:AC43,11,FALSE))</f>
        <v>0</v>
      </c>
      <c r="E89" s="1195"/>
      <c r="F89" s="1162"/>
      <c r="G89" s="1194" t="s">
        <v>362</v>
      </c>
      <c r="H89" s="1144" t="str">
        <f>IF((  'Val-Dép'!I43= "Stocks" ),'Val-Dép'!Z43,"0")</f>
        <v>0</v>
      </c>
      <c r="I89" s="2710"/>
      <c r="J89" s="1195"/>
      <c r="K89" s="1096"/>
      <c r="L89" s="1072"/>
      <c r="M89" s="2167"/>
      <c r="N89" s="1072"/>
      <c r="O89" s="1685"/>
      <c r="P89" s="1120" t="s">
        <v>195</v>
      </c>
      <c r="Q89" s="1139">
        <v>173</v>
      </c>
      <c r="R89" s="1121" t="s">
        <v>1876</v>
      </c>
      <c r="S89" s="1122" t="s">
        <v>193</v>
      </c>
      <c r="T89" s="1162"/>
      <c r="U89" s="1081"/>
      <c r="V89" s="1081"/>
      <c r="W89" s="1081"/>
      <c r="X89" s="1081"/>
      <c r="Y89" s="1081"/>
      <c r="Z89" s="1081"/>
      <c r="AA89" s="1081"/>
    </row>
    <row r="90" spans="2:33" ht="14.1" customHeight="1" thickBot="1" x14ac:dyDescent="0.3">
      <c r="B90" s="1169"/>
      <c r="C90" s="1196">
        <f>SUM(C80:C89)</f>
        <v>15000</v>
      </c>
      <c r="D90" s="1197">
        <f>SUM(D81:D89)</f>
        <v>5000</v>
      </c>
      <c r="E90" s="1171"/>
      <c r="F90" s="1162"/>
      <c r="G90" s="1169"/>
      <c r="H90" s="1196">
        <f>SUM(H80:H89)</f>
        <v>0</v>
      </c>
      <c r="I90" s="2705">
        <f>SUM(I81:I89)</f>
        <v>0</v>
      </c>
      <c r="J90" s="1171"/>
      <c r="K90" s="1078"/>
      <c r="L90" s="1072"/>
      <c r="M90" s="2167"/>
      <c r="N90" s="1072"/>
      <c r="O90" s="1685"/>
      <c r="P90" s="1123"/>
      <c r="Q90" s="1124" t="s">
        <v>223</v>
      </c>
      <c r="S90" s="1125" t="s">
        <v>207</v>
      </c>
      <c r="T90" s="1162"/>
      <c r="U90" s="1081"/>
      <c r="V90" s="1081"/>
      <c r="W90" s="1081"/>
      <c r="X90" s="1081"/>
      <c r="Y90" s="1081"/>
      <c r="Z90" s="1081"/>
      <c r="AA90" s="1081"/>
    </row>
    <row r="91" spans="2:33" ht="14.1" customHeight="1" thickBot="1" x14ac:dyDescent="0.3">
      <c r="B91" s="1198" t="s">
        <v>203</v>
      </c>
      <c r="C91" s="1199">
        <f>(C90-D90)</f>
        <v>10000</v>
      </c>
      <c r="D91" s="1170"/>
      <c r="E91" s="1171"/>
      <c r="F91" s="1162"/>
      <c r="G91" s="1081"/>
      <c r="H91" s="1199">
        <f>(H90-I90)</f>
        <v>0</v>
      </c>
      <c r="I91" s="2706"/>
      <c r="J91" s="1081"/>
      <c r="K91" s="1078"/>
      <c r="L91" s="1072"/>
      <c r="M91" s="2166">
        <f>SUM(C91,H91)</f>
        <v>10000</v>
      </c>
      <c r="N91" s="2630"/>
      <c r="O91" s="1685"/>
      <c r="P91" s="1072"/>
      <c r="Q91" s="1141" t="str">
        <f>IF(( 'Val-Dép'!H35="Crédit-caisse" ),'Val-Dép'!AM35,"0")</f>
        <v>0</v>
      </c>
      <c r="R91" s="1100" t="str">
        <f>IF(('Val-Dép'!H35="Crédit-caisse"),'Val-Dép'!S35,"0")</f>
        <v>0</v>
      </c>
      <c r="S91" s="1095"/>
      <c r="T91" s="1162"/>
      <c r="U91" s="1081"/>
      <c r="V91" s="1081"/>
      <c r="W91" s="1081"/>
      <c r="X91" s="1081"/>
      <c r="Y91" s="1081"/>
      <c r="Z91" s="1081"/>
      <c r="AA91" s="1081"/>
    </row>
    <row r="92" spans="2:33" ht="14.1" customHeight="1" x14ac:dyDescent="0.25">
      <c r="B92" s="1169"/>
      <c r="C92" s="1200"/>
      <c r="D92" s="1170"/>
      <c r="E92" s="1171"/>
      <c r="F92" s="1162"/>
      <c r="G92" s="1081"/>
      <c r="H92" s="1168"/>
      <c r="I92" s="2706"/>
      <c r="J92" s="1081"/>
      <c r="K92" s="1201"/>
      <c r="L92" s="1072"/>
      <c r="M92" s="2167"/>
      <c r="N92" s="1072"/>
      <c r="O92" s="1202"/>
      <c r="P92" s="1072"/>
      <c r="Q92" s="1141" t="str">
        <f>IF(( 'Val-Dép'!H38="Crédit-caisse" ),'Val-Dép'!#REF!,"0")</f>
        <v>0</v>
      </c>
      <c r="R92" s="1100" t="str">
        <f>IF(('Val-Dép'!H38="Crédit"),'Val-Dép'!S36,"0")</f>
        <v>0</v>
      </c>
      <c r="S92" s="1095"/>
      <c r="T92" s="1162"/>
      <c r="U92" s="1081"/>
      <c r="V92" s="1081"/>
      <c r="W92" s="1081"/>
      <c r="X92" s="1081"/>
      <c r="Y92" s="1081"/>
      <c r="Z92" s="1081"/>
      <c r="AA92" s="1081"/>
    </row>
    <row r="93" spans="2:33" ht="14.1" customHeight="1" thickBot="1" x14ac:dyDescent="0.3">
      <c r="B93" s="1169"/>
      <c r="C93" s="2154" t="s">
        <v>1993</v>
      </c>
      <c r="D93" s="2157" t="s">
        <v>2216</v>
      </c>
      <c r="E93" s="1171"/>
      <c r="F93" s="1162"/>
      <c r="G93" s="1081"/>
      <c r="H93" s="1202"/>
      <c r="I93" s="2711"/>
      <c r="J93" s="1202"/>
      <c r="K93" s="1078"/>
      <c r="M93" s="1202"/>
      <c r="N93" s="1202"/>
      <c r="O93" s="1204"/>
      <c r="P93" s="1072"/>
      <c r="Q93" s="1141" t="str">
        <f>IF(( 'Val-Dép'!H39="Crédit-caisse" ),'Val-Dép'!AM37,"0")</f>
        <v>0</v>
      </c>
      <c r="R93" s="1100" t="str">
        <f>IF(('Val-Dép'!H39="Crédit"),'Val-Dép'!S37,"0")</f>
        <v>0</v>
      </c>
      <c r="S93" s="1095"/>
      <c r="T93" s="1168"/>
      <c r="U93" s="1081"/>
      <c r="V93" s="1081"/>
      <c r="W93" s="1081"/>
      <c r="X93" s="1081"/>
      <c r="Y93" s="1081"/>
      <c r="Z93" s="1081"/>
      <c r="AA93" s="1081"/>
    </row>
    <row r="94" spans="2:33" ht="14.1" customHeight="1" thickBot="1" x14ac:dyDescent="0.3">
      <c r="B94" s="1169"/>
      <c r="C94" s="2155" t="s">
        <v>1994</v>
      </c>
      <c r="D94" s="2158" t="s">
        <v>2217</v>
      </c>
      <c r="E94" s="1204"/>
      <c r="F94" s="1204"/>
      <c r="G94" s="1204"/>
      <c r="H94" s="1204"/>
      <c r="I94" s="2712"/>
      <c r="J94" s="1204"/>
      <c r="K94" s="1078"/>
      <c r="L94" s="1204"/>
      <c r="M94" s="1204"/>
      <c r="N94" s="1204"/>
      <c r="O94" s="1209"/>
      <c r="P94" s="1072"/>
      <c r="Q94" s="1141" t="str">
        <f>IF(( 'Val-Dép'!H40="Crédit-caisse" ),'Val-Dép'!AM39,"0")</f>
        <v>0</v>
      </c>
      <c r="R94" s="1100" t="str">
        <f>IF(('Val-Dép'!H40="Crédit"),'Val-Dép'!S38,"0")</f>
        <v>0</v>
      </c>
      <c r="S94" s="1095"/>
      <c r="T94" s="1168"/>
      <c r="U94" s="1081"/>
      <c r="V94" s="1081"/>
      <c r="W94" s="1081"/>
      <c r="X94" s="1081"/>
      <c r="Y94" s="1081"/>
      <c r="Z94" s="1081"/>
      <c r="AA94" s="1081"/>
    </row>
    <row r="95" spans="2:33" ht="14.1" customHeight="1" x14ac:dyDescent="0.3">
      <c r="C95" s="2224" t="s">
        <v>215</v>
      </c>
      <c r="D95" s="1206" t="s">
        <v>1651</v>
      </c>
      <c r="E95" s="1207"/>
      <c r="F95" s="1208"/>
      <c r="G95" s="1209"/>
      <c r="H95" s="1210" t="s">
        <v>215</v>
      </c>
      <c r="I95" s="2713" t="s">
        <v>1652</v>
      </c>
      <c r="J95" s="1209"/>
      <c r="K95" s="1072"/>
      <c r="L95" s="1209"/>
      <c r="M95" s="1210" t="s">
        <v>215</v>
      </c>
      <c r="N95" s="1211" t="s">
        <v>1652</v>
      </c>
      <c r="O95" s="1081"/>
      <c r="P95" s="1072"/>
      <c r="Q95" s="1141" t="str">
        <f>IF(( 'Val-Dép'!H41="Crédit-caisse" ),'Val-Dép'!AM40,"0")</f>
        <v>0</v>
      </c>
      <c r="R95" s="1100" t="str">
        <f>IF(('Val-Dép'!H41="Crédit"),'Val-Dép'!S39,"0")</f>
        <v>0</v>
      </c>
      <c r="S95" s="1095"/>
      <c r="T95" s="1168"/>
      <c r="U95" s="1081"/>
      <c r="V95" s="1081"/>
      <c r="W95" s="1081"/>
      <c r="X95" s="1081"/>
      <c r="Y95" s="1081"/>
      <c r="Z95" s="1081"/>
      <c r="AA95" s="1081"/>
    </row>
    <row r="96" spans="2:33" ht="14.1" customHeight="1" x14ac:dyDescent="0.25">
      <c r="B96" s="1212"/>
      <c r="C96" s="2156" t="s">
        <v>1623</v>
      </c>
      <c r="D96" s="1080" t="s">
        <v>2029</v>
      </c>
      <c r="F96" s="1213"/>
      <c r="G96" s="1081"/>
      <c r="H96" s="1081"/>
      <c r="I96" s="2714" t="s">
        <v>2028</v>
      </c>
      <c r="J96" s="1081"/>
      <c r="K96" s="1072"/>
      <c r="M96" s="1081"/>
      <c r="N96" s="1080" t="s">
        <v>2028</v>
      </c>
      <c r="O96" s="3606"/>
      <c r="P96" s="1072"/>
      <c r="Q96" s="1141" t="str">
        <f>IF(( 'Val-Dép'!H42="Crédit-caisse" ),'Val-Dép'!#REF!,"0")</f>
        <v>0</v>
      </c>
      <c r="R96" s="1100" t="str">
        <f>IF(('Val-Dép'!H42="Crédit"),'Val-Dép'!S40,"0")</f>
        <v>0</v>
      </c>
      <c r="S96" s="1095"/>
      <c r="T96" s="1168"/>
      <c r="U96" s="1081"/>
      <c r="V96" s="1081"/>
      <c r="W96" s="1081"/>
      <c r="X96" s="1081"/>
      <c r="Y96" s="1081"/>
      <c r="Z96" s="1081"/>
      <c r="AA96" s="1081"/>
    </row>
    <row r="97" spans="2:28" ht="14.1" customHeight="1" thickBot="1" x14ac:dyDescent="0.35">
      <c r="B97" s="4226" t="s">
        <v>213</v>
      </c>
      <c r="C97" s="4227"/>
      <c r="D97" s="4228" t="s">
        <v>1623</v>
      </c>
      <c r="E97" s="4228"/>
      <c r="F97" s="1214"/>
      <c r="G97" s="1081"/>
      <c r="H97" s="1215" t="s">
        <v>213</v>
      </c>
      <c r="I97" s="4228" t="s">
        <v>1623</v>
      </c>
      <c r="J97" s="4228"/>
      <c r="K97" s="1078"/>
      <c r="M97" s="1215" t="s">
        <v>213</v>
      </c>
      <c r="N97" s="3606" t="s">
        <v>1623</v>
      </c>
      <c r="O97" s="1183" t="s">
        <v>185</v>
      </c>
      <c r="P97" s="1072"/>
      <c r="Q97" s="1141" t="str">
        <f>IF(( 'Val-Dép'!H43="Crédit-caisse" ),'Val-Dép'!AM41,"0")</f>
        <v>0</v>
      </c>
      <c r="R97" s="1100" t="str">
        <f>IF(('Val-Dép'!H43="Crédit"),'Val-Dép'!S41,"0")</f>
        <v>0</v>
      </c>
      <c r="S97" s="1106"/>
      <c r="T97" s="1168"/>
      <c r="U97" s="1081"/>
      <c r="V97" s="1081"/>
      <c r="W97" s="1081"/>
      <c r="X97" s="1081"/>
      <c r="Y97" s="1081"/>
      <c r="Z97" s="1081"/>
      <c r="AA97" s="1081"/>
    </row>
    <row r="98" spans="2:28" ht="14.1" customHeight="1" thickBot="1" x14ac:dyDescent="0.35">
      <c r="B98" s="2159" t="s">
        <v>186</v>
      </c>
      <c r="C98" s="1216">
        <v>400</v>
      </c>
      <c r="D98" s="2782" t="s">
        <v>168</v>
      </c>
      <c r="E98" s="2160" t="s">
        <v>185</v>
      </c>
      <c r="F98" s="1217"/>
      <c r="G98" s="1180" t="s">
        <v>186</v>
      </c>
      <c r="H98" s="1216">
        <v>400</v>
      </c>
      <c r="I98" s="2782" t="s">
        <v>168</v>
      </c>
      <c r="J98" s="1183" t="s">
        <v>185</v>
      </c>
      <c r="K98" s="1130"/>
      <c r="L98" s="1180" t="s">
        <v>186</v>
      </c>
      <c r="M98" s="1216">
        <v>400</v>
      </c>
      <c r="N98" s="2783" t="s">
        <v>168</v>
      </c>
      <c r="O98" s="1221"/>
      <c r="P98" s="1072"/>
      <c r="Q98" s="1141" t="str">
        <f>IF(( 'Val-Dép'!H44="Crédit-caisse" ),'Val-Dép'!AM42,"0")</f>
        <v>0</v>
      </c>
      <c r="R98" s="1100" t="str">
        <f>IF(('Val-Dép'!H44="Crédit"),'Val-Dép'!S42,"0")</f>
        <v>0</v>
      </c>
      <c r="S98" s="1072"/>
      <c r="T98" s="1168"/>
      <c r="U98" s="1081"/>
      <c r="V98" s="1081"/>
      <c r="W98" s="1081"/>
      <c r="X98" s="1081"/>
      <c r="Y98" s="1081"/>
      <c r="Z98" s="1081"/>
      <c r="AA98" s="1081"/>
      <c r="AB98" s="1081"/>
    </row>
    <row r="99" spans="2:28" ht="14.1" customHeight="1" thickBot="1" x14ac:dyDescent="0.3">
      <c r="B99" s="1218" t="s">
        <v>207</v>
      </c>
      <c r="C99" s="1219">
        <f>IF(ISNA(VLOOKUP($C$98,'VAL-INIT'!$C$3:$F$84,4,FALSE)),,VLOOKUP($C$98,'VAL-INIT'!$C$3:$F$84,4,FALSE))</f>
        <v>6250</v>
      </c>
      <c r="D99" s="1186" t="s">
        <v>206</v>
      </c>
      <c r="E99" s="1187"/>
      <c r="F99" s="1162"/>
      <c r="G99" s="1185" t="s">
        <v>207</v>
      </c>
      <c r="H99" s="1219"/>
      <c r="I99" s="2708" t="s">
        <v>206</v>
      </c>
      <c r="J99" s="1221"/>
      <c r="K99" s="1130"/>
      <c r="L99" s="1185" t="s">
        <v>207</v>
      </c>
      <c r="M99" s="1219"/>
      <c r="N99" s="1220" t="s">
        <v>206</v>
      </c>
      <c r="O99" s="1225" t="s">
        <v>16</v>
      </c>
      <c r="P99" s="1072"/>
      <c r="Q99" s="1078">
        <f>SUM(Q91:Q98)</f>
        <v>0</v>
      </c>
      <c r="R99" s="1118">
        <f>SUM(R90:R98)</f>
        <v>0</v>
      </c>
      <c r="S99" s="1075" t="s">
        <v>189</v>
      </c>
      <c r="T99" s="1226"/>
      <c r="U99" s="1081"/>
      <c r="V99" s="1081"/>
      <c r="W99" s="1081"/>
      <c r="X99" s="1081"/>
      <c r="Y99" s="1081"/>
      <c r="Z99" s="1081"/>
      <c r="AA99" s="1081"/>
    </row>
    <row r="100" spans="2:28" ht="14.1" customHeight="1" x14ac:dyDescent="0.25">
      <c r="B100" s="1222" t="s">
        <v>16</v>
      </c>
      <c r="C100" s="1223" t="str">
        <f>IF(AND(   'Val-Dép'!H13="Banque", 'Val-Dép'!I13&lt;&gt;"note de crédit"),VLOOKUP('Val-Dép'!I13,'Val-Dép'!I13:Z13,14,FALSE ),"0")</f>
        <v>0</v>
      </c>
      <c r="D100" s="1224" t="str">
        <f>IF(AND( 'Val-Dép'!AE13=550, 'Val-Dép'!I13&lt;&gt;"note de crédit"),VLOOKUP('Val-Dép'!AE13,'Val-Dép'!AE13:AF13,2,FALSE ),"0")</f>
        <v>0</v>
      </c>
      <c r="E100" s="1171"/>
      <c r="F100" s="1162"/>
      <c r="G100" s="1168"/>
      <c r="H100" s="1223" t="str">
        <f>IF(AND(   'Val-Dép'!H13="Bq post", 'Val-Dép'!I13&lt;&gt;"note de crédit"),VLOOKUP('Val-Dép'!I13,'Val-Dép'!I13:Z13,14,FALSE ),"0")</f>
        <v>0</v>
      </c>
      <c r="I100" s="2715" t="str">
        <f>IF(AND( 'Val-Dép'!AE13=560, 'Val-Dép'!I13&lt;&gt;"note de crédit"),VLOOKUP('Val-Dép'!AE13,'Val-Dép'!AE13:AF13,2,FALSE ),"0")</f>
        <v>0</v>
      </c>
      <c r="J100" s="1225" t="s">
        <v>16</v>
      </c>
      <c r="K100" s="1130"/>
      <c r="L100" s="1168"/>
      <c r="M100" s="1223" t="str">
        <f>IF(AND(   'Val-Dép'!M13="Caisse", 'Val-Dép'!N13&lt;&gt;"note de crédit"),VLOOKUP('Val-Dép'!N13,'Val-Dép'!N13:AE13,14,FALSE ),"0")</f>
        <v>0</v>
      </c>
      <c r="N100" s="1223" t="str">
        <f>IF(AND( 'Val-Dép'!AJ13=570, 'Val-Dép'!N13&lt;&gt;"note de crédit"),VLOOKUP('Val-Dép'!AJ13,'Val-Dép'!AJ13:AK13,2,FALSE ),"0")</f>
        <v>0</v>
      </c>
      <c r="O100" s="1225" t="s">
        <v>17</v>
      </c>
      <c r="P100" s="1096"/>
      <c r="Q100" s="1147"/>
      <c r="R100" s="1072"/>
      <c r="S100" s="1233"/>
      <c r="T100" s="1168"/>
    </row>
    <row r="101" spans="2:28" ht="14.1" customHeight="1" thickBot="1" x14ac:dyDescent="0.3">
      <c r="B101" s="1222" t="s">
        <v>17</v>
      </c>
      <c r="C101" s="1223">
        <f>IF(( 'Val-Dép'!I14&lt;&gt;"note de crédit"),VLOOKUP('Val-Dép'!I14,'Val-Dép'!I14:Z14,14,FALSE ),"0")</f>
        <v>0</v>
      </c>
      <c r="D101" s="1227" t="str">
        <f>IF(AND( 'Val-Dép'!AE14=550, 'Val-Dép'!I14&lt;&gt;"note de crédit"),VLOOKUP('Val-Dép'!AE14,'Val-Dép'!AE14:AF14,2,FALSE ),"0")</f>
        <v>0</v>
      </c>
      <c r="E101" s="1081"/>
      <c r="F101" s="1162"/>
      <c r="G101" s="1081"/>
      <c r="H101" s="1223" t="str">
        <f>IF(AND(   'Val-Dép'!H14="Bq post", 'Val-Dép'!I14&lt;&gt;"note de crédit"),VLOOKUP('Val-Dép'!I14,'Val-Dép'!I14:Z14,14,FALSE ),"0")</f>
        <v>0</v>
      </c>
      <c r="I101" s="2715" t="str">
        <f>IF(AND( 'Val-Dép'!AE14=560, 'Val-Dép'!I14&lt;&gt;"note de crédit"),VLOOKUP('Val-Dép'!AE14,'Val-Dép'!AE14:AF14,2,FALSE ),"0")</f>
        <v>0</v>
      </c>
      <c r="J101" s="1225" t="s">
        <v>17</v>
      </c>
      <c r="K101" s="1130"/>
      <c r="M101" s="1223" t="str">
        <f>IF(AND(   'Val-Dép'!M14="Caisse", 'Val-Dép'!N14&lt;&gt;"note de crédit"),VLOOKUP('Val-Dép'!N14,'Val-Dép'!N14:AE14,14,FALSE ),"0")</f>
        <v>0</v>
      </c>
      <c r="N101" s="1223" t="str">
        <f>IF(AND( 'Val-Dép'!AJ14=560, 'Val-Dép'!N14&lt;&gt;"note de crédit"),VLOOKUP('Val-Dép'!AJ14,'Val-Dép'!AJ14:AK14,2,FALSE ),"0")</f>
        <v>0</v>
      </c>
      <c r="O101" s="1225" t="s">
        <v>239</v>
      </c>
      <c r="P101" s="1096"/>
      <c r="Q101" s="1078">
        <f>SUM(Q41:Q56)</f>
        <v>0</v>
      </c>
      <c r="R101" s="1118">
        <f>SUM(R40:R56)</f>
        <v>0</v>
      </c>
      <c r="S101" s="1203">
        <f>R101-Q101</f>
        <v>0</v>
      </c>
      <c r="T101" s="1170"/>
    </row>
    <row r="102" spans="2:28" ht="14.1" customHeight="1" thickBot="1" x14ac:dyDescent="0.3">
      <c r="B102" s="1222" t="s">
        <v>239</v>
      </c>
      <c r="C102" s="1223">
        <f>IF(( 'Val-Dép'!I15&lt;&gt;"note de crédit"),VLOOKUP('Val-Dép'!I15,'Val-Dép'!I15:Z15,14,FALSE ),"0")</f>
        <v>0</v>
      </c>
      <c r="D102" s="1227" t="str">
        <f>IF(AND( 'Val-Dép'!AE15=550, 'Val-Dép'!I15&lt;&gt;"note de crédit"),VLOOKUP('Val-Dép'!AE15,'Val-Dép'!AE15:AF15,2,FALSE ),"0")</f>
        <v>0</v>
      </c>
      <c r="E102" s="1171"/>
      <c r="F102" s="1162"/>
      <c r="G102" s="1081"/>
      <c r="H102" s="1223" t="str">
        <f>IF(AND(   'Val-Dép'!H15="Bq post", 'Val-Dép'!I15&lt;&gt;"note de crédit"),VLOOKUP('Val-Dép'!I15,'Val-Dép'!I15:Z15,14,FALSE ),"0")</f>
        <v>0</v>
      </c>
      <c r="I102" s="2715" t="str">
        <f>IF(AND( 'Val-Dép'!AE15=560, 'Val-Dép'!I15&lt;&gt;"note de crédit"),VLOOKUP('Val-Dép'!AE15,'Val-Dép'!AE15:AF15,2,FALSE ),"0")</f>
        <v>0</v>
      </c>
      <c r="J102" s="1225" t="s">
        <v>239</v>
      </c>
      <c r="K102" s="1130"/>
      <c r="M102" s="1223" t="str">
        <f>IF(AND(   'Val-Dép'!M15="Caisse", 'Val-Dép'!N15&lt;&gt;"note de crédit"),VLOOKUP('Val-Dép'!N15,'Val-Dép'!N15:AE15,14,FALSE ),"0")</f>
        <v>0</v>
      </c>
      <c r="N102" s="1223" t="str">
        <f>IF(AND( 'Val-Dép'!AJ15=560, 'Val-Dép'!N15&lt;&gt;"note de crédit"),VLOOKUP('Val-Dép'!AJ15,'Val-Dép'!AJ15:AK15,2,FALSE ),"0")</f>
        <v>0</v>
      </c>
      <c r="O102" s="1225" t="s">
        <v>240</v>
      </c>
      <c r="P102" s="1096"/>
      <c r="Q102" s="1078">
        <f>SUM(Q76:Q83)</f>
        <v>0</v>
      </c>
      <c r="R102" s="1118">
        <f>SUM(R75:R83)</f>
        <v>0</v>
      </c>
      <c r="S102" s="1203">
        <f t="shared" ref="S102:S103" si="0">R102-Q102</f>
        <v>0</v>
      </c>
      <c r="T102" s="1162"/>
    </row>
    <row r="103" spans="2:28" ht="14.1" customHeight="1" thickBot="1" x14ac:dyDescent="0.3">
      <c r="B103" s="1222" t="s">
        <v>240</v>
      </c>
      <c r="C103" s="1223">
        <f>IF(( 'Val-Dép'!I16&lt;&gt;"note de crédit"),VLOOKUP('Val-Dép'!I16,'Val-Dép'!I16:Z16,14,FALSE ),"0")</f>
        <v>0</v>
      </c>
      <c r="D103" s="1227" t="str">
        <f>IF(AND( 'Val-Dép'!AE16=550, 'Val-Dép'!I16&lt;&gt;"note de crédit"),VLOOKUP('Val-Dép'!AE16,'Val-Dép'!AE16:AF16,2,FALSE ),"0")</f>
        <v>0</v>
      </c>
      <c r="E103" s="1171"/>
      <c r="F103" s="1162"/>
      <c r="G103" s="1081"/>
      <c r="H103" s="1223" t="str">
        <f>IF(AND(   'Val-Dép'!H16="Bq post", 'Val-Dép'!I16&lt;&gt;"note de crédit"),VLOOKUP('Val-Dép'!I16,'Val-Dép'!I16:Z16,14,FALSE ),"0")</f>
        <v>0</v>
      </c>
      <c r="I103" s="2715" t="str">
        <f>IF(AND( 'Val-Dép'!AE16=560, 'Val-Dép'!I16&lt;&gt;"note de crédit"),VLOOKUP('Val-Dép'!AE16,'Val-Dép'!AE16:AF16,2,FALSE ),"0")</f>
        <v>0</v>
      </c>
      <c r="J103" s="1225" t="s">
        <v>240</v>
      </c>
      <c r="K103" s="1130"/>
      <c r="M103" s="1223" t="str">
        <f>IF(AND(   'Val-Dép'!M16="Caisse", 'Val-Dép'!N16&lt;&gt;"note de crédit"),VLOOKUP('Val-Dép'!N16,'Val-Dép'!N16:AE16,14,FALSE ),"0")</f>
        <v>0</v>
      </c>
      <c r="N103" s="1223" t="str">
        <f>IF(AND( 'Val-Dép'!AJ16=560, 'Val-Dép'!N16&lt;&gt;"note de crédit"),VLOOKUP('Val-Dép'!AJ16,'Val-Dép'!AJ16:AK16,2,FALSE ),"0")</f>
        <v>0</v>
      </c>
      <c r="O103" s="1225" t="s">
        <v>241</v>
      </c>
      <c r="P103" s="1096"/>
      <c r="Q103" s="1236">
        <f>SUM(Q91:Q98)</f>
        <v>0</v>
      </c>
      <c r="R103" s="1237">
        <f>SUM(R90:R98)</f>
        <v>0</v>
      </c>
      <c r="S103" s="1203">
        <f t="shared" si="0"/>
        <v>0</v>
      </c>
    </row>
    <row r="104" spans="2:28" ht="14.1" customHeight="1" x14ac:dyDescent="0.25">
      <c r="B104" s="1222" t="s">
        <v>241</v>
      </c>
      <c r="C104" s="1223">
        <f>IF(( 'Val-Dép'!I17&lt;&gt;"note de crédit"),VLOOKUP('Val-Dép'!I17,'Val-Dép'!I17:Z17,14,FALSE ),"0")</f>
        <v>0</v>
      </c>
      <c r="D104" s="1227" t="str">
        <f>IF(AND( 'Val-Dép'!AE17=550, 'Val-Dép'!I17&lt;&gt;"note de crédit"),VLOOKUP('Val-Dép'!AE17,'Val-Dép'!AE17:AF17,2,FALSE ),"0")</f>
        <v>0</v>
      </c>
      <c r="E104" s="1228"/>
      <c r="F104" s="1162"/>
      <c r="G104" s="1081"/>
      <c r="H104" s="1223" t="str">
        <f>IF(AND(   'Val-Dép'!H17="Bq post", 'Val-Dép'!I17&lt;&gt;"note de crédit"),VLOOKUP('Val-Dép'!I17,'Val-Dép'!I17:Z17,14,FALSE ),"0")</f>
        <v>0</v>
      </c>
      <c r="I104" s="2715" t="str">
        <f>IF(AND( 'Val-Dép'!AE17=560, 'Val-Dép'!I17&lt;&gt;"note de crédit"),VLOOKUP('Val-Dép'!AE17,'Val-Dép'!AE17:AF17,2,FALSE ),"0")</f>
        <v>0</v>
      </c>
      <c r="J104" s="1225" t="s">
        <v>241</v>
      </c>
      <c r="K104" s="1229"/>
      <c r="M104" s="1223" t="str">
        <f>IF(AND(   'Val-Dép'!M17="Caisse", 'Val-Dép'!N17&lt;&gt;"note de crédit"),VLOOKUP('Val-Dép'!N17,'Val-Dép'!N17:AE17,14,FALSE ),"0")</f>
        <v>0</v>
      </c>
      <c r="N104" s="1223" t="str">
        <f>IF(AND( 'Val-Dép'!AJ17=560, 'Val-Dép'!N17&lt;&gt;"note de crédit"),VLOOKUP('Val-Dép'!AJ17,'Val-Dép'!AJ17:AK17,2,FALSE ),"0")</f>
        <v>0</v>
      </c>
      <c r="O104" s="2589" t="s">
        <v>242</v>
      </c>
      <c r="P104" s="1096"/>
      <c r="Q104" s="1147">
        <f>SUM(Q101:Q103)</f>
        <v>0</v>
      </c>
      <c r="R104" s="1147">
        <f>SUM(R101:R103)</f>
        <v>0</v>
      </c>
      <c r="S104" s="1072"/>
    </row>
    <row r="105" spans="2:28" ht="14.1" customHeight="1" x14ac:dyDescent="0.3">
      <c r="B105" s="1230" t="s">
        <v>242</v>
      </c>
      <c r="C105" s="1223">
        <f>IF(( 'Val-Dép'!I18&lt;&gt;"note de crédit"),VLOOKUP('Val-Dép'!I18,'Val-Dép'!I18:Z18,14,FALSE ),"0")</f>
        <v>0</v>
      </c>
      <c r="D105" s="1227" t="str">
        <f>IF(AND( 'Val-Dép'!AE18=550, 'Val-Dép'!I18&lt;&gt;"note de crédit"),VLOOKUP('Val-Dép'!AE18,'Val-Dép'!AE18:AF18,2,FALSE ),"0")</f>
        <v>0</v>
      </c>
      <c r="E105" s="1231"/>
      <c r="F105" s="1232"/>
      <c r="G105" s="1081"/>
      <c r="H105" s="1223" t="str">
        <f>IF(AND(   'Val-Dép'!H18="Bq post", 'Val-Dép'!I18&lt;&gt;"note de crédit"),VLOOKUP('Val-Dép'!I18,'Val-Dép'!I18:Z18,14,FALSE ),"0")</f>
        <v>0</v>
      </c>
      <c r="I105" s="2715" t="str">
        <f>IF(AND( 'Val-Dép'!AE18=560, 'Val-Dép'!I18&lt;&gt;"note de crédit"),VLOOKUP('Val-Dép'!AE18,'Val-Dép'!AE18:AF18,2,FALSE ),"0")</f>
        <v>0</v>
      </c>
      <c r="J105" s="1169" t="s">
        <v>242</v>
      </c>
      <c r="K105" s="1072"/>
      <c r="M105" s="1223" t="str">
        <f>IF(AND(   'Val-Dép'!M18="Caisse", 'Val-Dép'!N18&lt;&gt;"note de crédit"),VLOOKUP('Val-Dép'!N18,'Val-Dép'!N18:AE18,14,FALSE ),"0")</f>
        <v>0</v>
      </c>
      <c r="N105" s="1223" t="str">
        <f>IF(AND( 'Val-Dép'!AJ18=560, 'Val-Dép'!N18&lt;&gt;"note de crédit"),VLOOKUP('Val-Dép'!AJ18,'Val-Dép'!AJ18:AK18,2,FALSE ),"0")</f>
        <v>0</v>
      </c>
      <c r="O105" s="2589" t="s">
        <v>243</v>
      </c>
    </row>
    <row r="106" spans="2:28" ht="14.1" customHeight="1" x14ac:dyDescent="0.25">
      <c r="B106" s="1230" t="s">
        <v>243</v>
      </c>
      <c r="C106" s="1223">
        <f>IF(( 'Val-Dép'!I19&lt;&gt;"note de crédit"),VLOOKUP('Val-Dép'!I19,'Val-Dép'!I19:Z19,14,FALSE ),"0")</f>
        <v>0</v>
      </c>
      <c r="D106" s="1227" t="str">
        <f>IF(AND( 'Val-Dép'!AE19=550, 'Val-Dép'!I19&lt;&gt;"note de crédit"),VLOOKUP('Val-Dép'!AE19,'Val-Dép'!AE19:AF19,2,FALSE ),"0")</f>
        <v>0</v>
      </c>
      <c r="E106" s="1171"/>
      <c r="F106" s="1162"/>
      <c r="G106" s="1081"/>
      <c r="H106" s="1223" t="str">
        <f>IF(AND(   'Val-Dép'!H19="Bq post", 'Val-Dép'!I19&lt;&gt;"note de crédit"),VLOOKUP('Val-Dép'!I19,'Val-Dép'!I19:Z19,14,FALSE ),"0")</f>
        <v>0</v>
      </c>
      <c r="I106" s="2715" t="str">
        <f>IF(AND( 'Val-Dép'!AE19=560, 'Val-Dép'!I19&lt;&gt;"note de crédit"),VLOOKUP('Val-Dép'!AE19,'Val-Dép'!AE19:AF19,2,FALSE ),"0")</f>
        <v>0</v>
      </c>
      <c r="J106" s="1169" t="s">
        <v>243</v>
      </c>
      <c r="K106" s="1081"/>
      <c r="M106" s="1223" t="str">
        <f>IF(AND(   'Val-Dép'!M19="Caisse", 'Val-Dép'!N19&lt;&gt;"note de crédit"),VLOOKUP('Val-Dép'!N19,'Val-Dép'!N19:AE19,14,FALSE ),"0")</f>
        <v>0</v>
      </c>
      <c r="N106" s="1223" t="str">
        <f>IF(AND( 'Val-Dép'!AJ19=560, 'Val-Dép'!N19&lt;&gt;"note de crédit"),VLOOKUP('Val-Dép'!AJ19,'Val-Dép'!AJ19:AK19,2,FALSE ),"0")</f>
        <v>0</v>
      </c>
      <c r="O106" s="2589" t="s">
        <v>244</v>
      </c>
    </row>
    <row r="107" spans="2:28" ht="14.1" customHeight="1" x14ac:dyDescent="0.25">
      <c r="B107" s="1230" t="s">
        <v>244</v>
      </c>
      <c r="C107" s="1223">
        <f>IF(( 'Val-Dép'!I20&lt;&gt;"note de crédit"),VLOOKUP('Val-Dép'!I20,'Val-Dép'!I20:Z20,14,FALSE ),"0")</f>
        <v>0</v>
      </c>
      <c r="D107" s="1227" t="str">
        <f>IF(AND( 'Val-Dép'!AE20=550, 'Val-Dép'!I20&lt;&gt;"note de crédit"),VLOOKUP('Val-Dép'!AE20,'Val-Dép'!AE20:AF20,2,FALSE ),"0")</f>
        <v>0</v>
      </c>
      <c r="E107" s="1171"/>
      <c r="F107" s="1162"/>
      <c r="G107" s="1081"/>
      <c r="H107" s="1223" t="str">
        <f>IF(AND(   'Val-Dép'!H20="Bq post", 'Val-Dép'!I20&lt;&gt;"note de crédit"),VLOOKUP('Val-Dép'!I20,'Val-Dép'!I20:Z20,14,FALSE ),"0")</f>
        <v>0</v>
      </c>
      <c r="I107" s="2715" t="str">
        <f>IF(AND( 'Val-Dép'!AE20=560, 'Val-Dép'!I20&lt;&gt;"note de crédit"),VLOOKUP('Val-Dép'!AE20,'Val-Dép'!AE20:AF20,2,FALSE ),"0")</f>
        <v>0</v>
      </c>
      <c r="J107" s="1169" t="s">
        <v>244</v>
      </c>
      <c r="K107" s="1081"/>
      <c r="M107" s="1223" t="str">
        <f>IF(AND(   'Val-Dép'!M20="Caisse", 'Val-Dép'!N20&lt;&gt;"note de crédit"),VLOOKUP('Val-Dép'!N20,'Val-Dép'!N20:AE20,14,FALSE ),"0")</f>
        <v>0</v>
      </c>
      <c r="N107" s="1223" t="str">
        <f>IF(AND( 'Val-Dép'!AJ20=560, 'Val-Dép'!N20&lt;&gt;"note de crédit"),VLOOKUP('Val-Dép'!AJ20,'Val-Dép'!AJ20:AK20,2,FALSE ),"0")</f>
        <v>0</v>
      </c>
      <c r="O107" s="1235" t="s">
        <v>245</v>
      </c>
    </row>
    <row r="108" spans="2:28" ht="14.1" customHeight="1" x14ac:dyDescent="0.25">
      <c r="B108" s="1234" t="s">
        <v>245</v>
      </c>
      <c r="C108" s="1223">
        <f>IF(( 'Val-Dép'!I21&lt;&gt;"note de crédit"),VLOOKUP('Val-Dép'!I21,'Val-Dép'!I21:Z21,14,FALSE ),"0")</f>
        <v>0</v>
      </c>
      <c r="D108" s="1227" t="str">
        <f>IF(AND( 'Val-Dép'!AE21=550, 'Val-Dép'!I21&lt;&gt;"note de crédit"),VLOOKUP('Val-Dép'!AE21,'Val-Dép'!AE21:AF21,2,FALSE ),"0")</f>
        <v>0</v>
      </c>
      <c r="E108" s="1162"/>
      <c r="F108" s="1162"/>
      <c r="G108" s="1081"/>
      <c r="H108" s="1223" t="str">
        <f>IF(AND(   'Val-Dép'!H21="Bq post", 'Val-Dép'!I21&lt;&gt;"note de crédit"),VLOOKUP('Val-Dép'!I21,'Val-Dép'!I21:Z21,14,FALSE ),"0")</f>
        <v>0</v>
      </c>
      <c r="I108" s="2715" t="str">
        <f>IF(AND( 'Val-Dép'!AE21=560, 'Val-Dép'!I21&lt;&gt;"note de crédit"),VLOOKUP('Val-Dép'!AE21,'Val-Dép'!AE21:AF21,2,FALSE ),"0")</f>
        <v>0</v>
      </c>
      <c r="J108" s="1235" t="s">
        <v>245</v>
      </c>
      <c r="K108" s="1081"/>
      <c r="M108" s="1223" t="str">
        <f>IF(AND(   'Val-Dép'!M21="Caisse", 'Val-Dép'!N21&lt;&gt;"note de crédit"),VLOOKUP('Val-Dép'!N21,'Val-Dép'!N21:AE21,14,FALSE ),"0")</f>
        <v>0</v>
      </c>
      <c r="N108" s="1223" t="str">
        <f>IF(AND( 'Val-Dép'!AJ21=560, 'Val-Dép'!N21&lt;&gt;"note de crédit"),VLOOKUP('Val-Dép'!AJ21,'Val-Dép'!AJ21:AK21,2,FALSE ),"0")</f>
        <v>0</v>
      </c>
      <c r="O108" s="1235" t="s">
        <v>277</v>
      </c>
    </row>
    <row r="109" spans="2:28" ht="14.1" customHeight="1" x14ac:dyDescent="0.25">
      <c r="B109" s="1234" t="s">
        <v>277</v>
      </c>
      <c r="C109" s="1223">
        <f>IF(( 'Val-Dép'!I22&lt;&gt;"note de crédit"),VLOOKUP('Val-Dép'!I22,'Val-Dép'!I22:Z22,14,FALSE ),"0")</f>
        <v>0</v>
      </c>
      <c r="D109" s="1227" t="str">
        <f>IF(AND( 'Val-Dép'!AE22=550, 'Val-Dép'!I22&lt;&gt;"note de crédit"),VLOOKUP('Val-Dép'!AE22,'Val-Dép'!AE22:AF22,2,FALSE ),"0")</f>
        <v>0</v>
      </c>
      <c r="E109" s="1171"/>
      <c r="F109" s="1162"/>
      <c r="G109" s="1081"/>
      <c r="H109" s="1223" t="str">
        <f>IF(AND(   'Val-Dép'!H22="Bq post", 'Val-Dép'!I22&lt;&gt;"note de crédit"),VLOOKUP('Val-Dép'!I22,'Val-Dép'!I22:Z22,14,FALSE ),"0")</f>
        <v>0</v>
      </c>
      <c r="I109" s="2715" t="str">
        <f>IF(AND( 'Val-Dép'!AE22=560, 'Val-Dép'!I22&lt;&gt;"note de crédit"),VLOOKUP('Val-Dép'!AE22,'Val-Dép'!AE22:AF22,2,FALSE ),"0")</f>
        <v>0</v>
      </c>
      <c r="J109" s="1235" t="s">
        <v>277</v>
      </c>
      <c r="K109" s="1081"/>
      <c r="M109" s="1223" t="str">
        <f>IF(AND(   'Val-Dép'!M22="Caisse", 'Val-Dép'!N22&lt;&gt;"note de crédit"),VLOOKUP('Val-Dép'!N22,'Val-Dép'!N22:AE22,14,FALSE ),"0")</f>
        <v>0</v>
      </c>
      <c r="N109" s="1223" t="str">
        <f>IF(AND( 'Val-Dép'!AJ22=560, 'Val-Dép'!N22&lt;&gt;"note de crédit"),VLOOKUP('Val-Dép'!AJ22,'Val-Dép'!AJ22:AK22,2,FALSE ),"0")</f>
        <v>0</v>
      </c>
      <c r="O109" s="1240" t="s">
        <v>246</v>
      </c>
      <c r="T109" s="1241">
        <f>R104-Q104</f>
        <v>0</v>
      </c>
    </row>
    <row r="110" spans="2:28" ht="14.1" customHeight="1" x14ac:dyDescent="0.25">
      <c r="B110" s="1238" t="s">
        <v>246</v>
      </c>
      <c r="C110" s="1223">
        <f>IF(( 'Val-Dép'!I23&lt;&gt;"note de crédit"),VLOOKUP('Val-Dép'!I23,'Val-Dép'!I23:Z23,14,FALSE ),"0")</f>
        <v>0</v>
      </c>
      <c r="D110" s="1239" t="str">
        <f>IF(AND( 'Val-Dép'!AE23=550, 'Val-Dép'!I23&lt;&gt;"note de crédit"),VLOOKUP('Val-Dép'!AE23,'Val-Dép'!AE23:AF23,2,FALSE ),"0")</f>
        <v>0</v>
      </c>
      <c r="E110" s="1171"/>
      <c r="F110" s="1162"/>
      <c r="G110" s="1081"/>
      <c r="H110" s="1223" t="str">
        <f>IF(AND(   'Val-Dép'!H23="Bq post", 'Val-Dép'!I23&lt;&gt;"note de crédit"),VLOOKUP('Val-Dép'!I23,'Val-Dép'!I23:Z23,14,FALSE ),"0")</f>
        <v>0</v>
      </c>
      <c r="I110" s="2715" t="str">
        <f>IF(AND( 'Val-Dép'!AE23=560, 'Val-Dép'!I23&lt;&gt;"note de crédit"),VLOOKUP('Val-Dép'!AE23,'Val-Dép'!AE23:AF23,2,FALSE ),"0")</f>
        <v>0</v>
      </c>
      <c r="J110" s="1240" t="s">
        <v>246</v>
      </c>
      <c r="K110" s="1081"/>
      <c r="M110" s="1223" t="str">
        <f>IF(AND(   'Val-Dép'!M23="Caisse", 'Val-Dép'!N23&lt;&gt;"note de crédit"),VLOOKUP('Val-Dép'!N23,'Val-Dép'!N23:AE23,14,FALSE ),"0")</f>
        <v>0</v>
      </c>
      <c r="N110" s="1223" t="str">
        <f>IF(AND( 'Val-Dép'!AJ23=560, 'Val-Dép'!N23&lt;&gt;"note de crédit"),VLOOKUP('Val-Dép'!AJ23,'Val-Dép'!AJ23:AK23,2,FALSE ),"0")</f>
        <v>0</v>
      </c>
      <c r="O110" s="1081"/>
    </row>
    <row r="111" spans="2:28" ht="14.1" customHeight="1" x14ac:dyDescent="0.25">
      <c r="B111" s="1242"/>
      <c r="C111" s="1168">
        <f>SUM(C99:C110)</f>
        <v>6250</v>
      </c>
      <c r="D111" s="1243">
        <f>SUM(D100:D110)</f>
        <v>0</v>
      </c>
      <c r="E111" s="1244"/>
      <c r="F111" s="1244"/>
      <c r="G111" s="1244"/>
      <c r="H111" s="1168"/>
      <c r="I111" s="2706">
        <f>SUM(I100:I110)</f>
        <v>0</v>
      </c>
      <c r="J111" s="1081"/>
      <c r="K111" s="1081"/>
      <c r="L111" s="1244"/>
      <c r="M111" s="1168"/>
      <c r="N111" s="1168">
        <f>SUM(N100:N110)</f>
        <v>0</v>
      </c>
      <c r="O111" s="1464"/>
    </row>
    <row r="112" spans="2:28" ht="14.1" customHeight="1" x14ac:dyDescent="0.25">
      <c r="B112" s="1242"/>
      <c r="C112" s="1168">
        <f>$H$111</f>
        <v>0</v>
      </c>
      <c r="D112" s="1168">
        <f>$I$111</f>
        <v>0</v>
      </c>
      <c r="E112" s="1244"/>
      <c r="F112" s="1244"/>
      <c r="G112" s="1244"/>
      <c r="H112" s="1081"/>
      <c r="I112" s="2706"/>
      <c r="J112" s="1081"/>
      <c r="K112" s="1081"/>
      <c r="M112" s="1573"/>
      <c r="N112" s="1081"/>
      <c r="O112" s="1464"/>
    </row>
    <row r="113" spans="2:26" ht="14.1" customHeight="1" thickBot="1" x14ac:dyDescent="0.65">
      <c r="B113" s="1212"/>
      <c r="C113" s="2634"/>
      <c r="D113" s="2634"/>
      <c r="E113" s="1244"/>
      <c r="F113" s="1244"/>
      <c r="G113" s="1246" t="s">
        <v>2030</v>
      </c>
      <c r="H113" s="1247"/>
      <c r="I113" s="2716"/>
      <c r="J113" s="1247"/>
      <c r="K113" s="1081"/>
      <c r="M113" s="1573"/>
      <c r="N113" s="1081"/>
      <c r="O113" s="1464"/>
    </row>
    <row r="114" spans="2:26" ht="14.1" customHeight="1" thickBot="1" x14ac:dyDescent="0.35">
      <c r="B114" s="1248"/>
      <c r="C114" s="1245">
        <f>SUM(C111:C113)</f>
        <v>6250</v>
      </c>
      <c r="D114" s="1245">
        <f>SUM(D111:D113)</f>
        <v>0</v>
      </c>
      <c r="E114" s="1249" t="s">
        <v>1714</v>
      </c>
      <c r="F114" s="1249"/>
      <c r="G114" s="1249"/>
      <c r="H114" s="1249"/>
      <c r="I114" s="2717"/>
      <c r="J114" s="1249"/>
      <c r="K114" s="1081"/>
      <c r="M114" s="1356">
        <f>C114-D114</f>
        <v>6250</v>
      </c>
      <c r="N114" s="2636"/>
      <c r="O114" s="1464"/>
      <c r="S114" s="1022" t="s">
        <v>1876</v>
      </c>
    </row>
    <row r="115" spans="2:26" ht="14.1" customHeight="1" x14ac:dyDescent="0.25">
      <c r="K115" s="1081"/>
      <c r="O115" s="1464"/>
    </row>
    <row r="116" spans="2:26" ht="14.1" customHeight="1" thickBot="1" x14ac:dyDescent="0.3">
      <c r="K116" s="1081"/>
      <c r="M116" s="1573"/>
      <c r="N116" s="1081"/>
      <c r="O116" s="1464"/>
    </row>
    <row r="117" spans="2:26" ht="14.1" customHeight="1" x14ac:dyDescent="0.35">
      <c r="D117" s="4235" t="s">
        <v>2140</v>
      </c>
      <c r="E117" s="4235"/>
      <c r="F117" s="4235"/>
      <c r="G117" s="4235"/>
      <c r="H117" s="4235"/>
      <c r="I117" s="4235"/>
      <c r="J117" s="1250" t="e">
        <f>'VAL-INIT'!#REF!</f>
        <v>#REF!</v>
      </c>
      <c r="K117" s="1081"/>
      <c r="M117" s="1573"/>
      <c r="N117" s="1081"/>
      <c r="O117" s="1464"/>
    </row>
    <row r="118" spans="2:26" ht="14.1" customHeight="1" thickBot="1" x14ac:dyDescent="0.4">
      <c r="B118" s="1251"/>
      <c r="C118" s="1252"/>
      <c r="D118" s="4235" t="s">
        <v>2141</v>
      </c>
      <c r="E118" s="4235"/>
      <c r="F118" s="4235"/>
      <c r="G118" s="4235"/>
      <c r="H118" s="4235"/>
      <c r="I118" s="4235"/>
      <c r="J118" s="1253" t="e">
        <f>'VAL-INIT'!#REF!</f>
        <v>#REF!</v>
      </c>
      <c r="K118" s="1081"/>
      <c r="M118" s="1573"/>
      <c r="N118" s="1081"/>
      <c r="O118" s="1081"/>
    </row>
    <row r="119" spans="2:26" ht="14.1" customHeight="1" thickBot="1" x14ac:dyDescent="0.35">
      <c r="B119" s="1254"/>
      <c r="C119" s="1255"/>
      <c r="D119" s="1255"/>
      <c r="K119" s="1081"/>
      <c r="M119" s="1081"/>
      <c r="N119" s="1081"/>
      <c r="O119" s="1081"/>
      <c r="Q119" s="1023"/>
      <c r="R119" s="1024" t="s">
        <v>195</v>
      </c>
      <c r="S119" s="3563" t="s">
        <v>2433</v>
      </c>
      <c r="T119" s="2847" t="s">
        <v>2431</v>
      </c>
      <c r="U119" s="1021" t="s">
        <v>193</v>
      </c>
      <c r="V119" s="1008"/>
      <c r="W119" s="3541" t="s">
        <v>195</v>
      </c>
      <c r="X119" s="57" t="s">
        <v>1670</v>
      </c>
      <c r="Y119" s="3542" t="s">
        <v>1669</v>
      </c>
      <c r="Z119" s="3543" t="s">
        <v>193</v>
      </c>
    </row>
    <row r="120" spans="2:26" ht="14.1" customHeight="1" thickTop="1" x14ac:dyDescent="0.25">
      <c r="B120" s="1081"/>
      <c r="D120" s="1256"/>
      <c r="E120" s="1081"/>
      <c r="F120" s="1162"/>
      <c r="H120" s="1126"/>
      <c r="I120" s="2718"/>
      <c r="K120" s="1081"/>
      <c r="M120" s="1081"/>
      <c r="N120" s="1081"/>
      <c r="O120" s="1087" t="s">
        <v>1666</v>
      </c>
      <c r="P120" s="1389"/>
      <c r="Q120" s="1023"/>
      <c r="R120" s="1027"/>
      <c r="S120" s="3544" t="s">
        <v>2432</v>
      </c>
      <c r="T120" s="3562">
        <f>IF(ISNA(VLOOKUP($T$119,'VAL-INIT'!$J$4:$L$63,3,FALSE)),,VLOOKUP($T$119,'VAL-INIT'!$J$4:$L$63,3,FALSE))</f>
        <v>0</v>
      </c>
      <c r="U120" s="3560" t="s">
        <v>1643</v>
      </c>
      <c r="V120" s="1008"/>
      <c r="W120" s="3545"/>
      <c r="X120" s="3546"/>
      <c r="Y120" s="1025"/>
      <c r="Z120" s="3547"/>
    </row>
    <row r="121" spans="2:26" ht="14.1" customHeight="1" x14ac:dyDescent="0.25">
      <c r="B121" s="1081"/>
      <c r="C121" s="1162" t="s">
        <v>1661</v>
      </c>
      <c r="D121" s="1257" t="s">
        <v>1660</v>
      </c>
      <c r="E121" s="1081"/>
      <c r="F121" s="1162"/>
      <c r="H121" s="1258" t="s">
        <v>1667</v>
      </c>
      <c r="I121" s="2719" t="s">
        <v>1665</v>
      </c>
      <c r="M121" s="1087" t="s">
        <v>1668</v>
      </c>
      <c r="O121" s="3601"/>
      <c r="P121" s="1171" t="s">
        <v>185</v>
      </c>
      <c r="Q121" s="1023"/>
      <c r="R121" s="1027"/>
      <c r="S121" s="3548"/>
      <c r="T121" s="3548"/>
      <c r="U121" s="1023"/>
      <c r="V121" s="1008"/>
      <c r="W121" s="3545"/>
      <c r="X121" s="3549"/>
      <c r="Y121" s="1028"/>
      <c r="Z121" s="3550"/>
    </row>
    <row r="122" spans="2:26" ht="14.1" customHeight="1" x14ac:dyDescent="0.25">
      <c r="B122" s="1081" t="s">
        <v>186</v>
      </c>
      <c r="C122" s="4073" t="s">
        <v>1664</v>
      </c>
      <c r="D122" s="4074"/>
      <c r="E122" s="1087" t="s">
        <v>185</v>
      </c>
      <c r="F122" s="1162"/>
      <c r="G122" s="1087" t="s">
        <v>186</v>
      </c>
      <c r="H122" s="4073" t="s">
        <v>1662</v>
      </c>
      <c r="I122" s="4074"/>
      <c r="J122" s="1087" t="s">
        <v>185</v>
      </c>
      <c r="L122" s="1081" t="s">
        <v>186</v>
      </c>
      <c r="M122" s="3600" t="s">
        <v>1663</v>
      </c>
      <c r="N122" s="3600"/>
      <c r="O122" s="1100" t="e">
        <f>IF('Val-Dép'!#REF!="","",'Val-Dép'!#REF!)</f>
        <v>#REF!</v>
      </c>
      <c r="P122" s="1171"/>
      <c r="Q122" s="1023"/>
      <c r="R122" s="1027"/>
      <c r="S122" s="1029"/>
      <c r="T122" s="1026"/>
      <c r="U122" s="1023"/>
      <c r="V122" s="1008"/>
      <c r="W122" s="3545"/>
      <c r="X122" s="3549"/>
      <c r="Y122" s="1028"/>
      <c r="Z122" s="3550"/>
    </row>
    <row r="123" spans="2:26" ht="14.1" customHeight="1" x14ac:dyDescent="0.25">
      <c r="B123" s="1259"/>
      <c r="C123" s="1100" t="e">
        <f>IF('Val-Dép'!#REF!="","",'Val-Dép'!#REF!)</f>
        <v>#REF!</v>
      </c>
      <c r="D123" s="1100" t="str">
        <f>IF('Val-Dép'!D58="","",'Val-Dép'!D58)</f>
        <v>crédit-1an</v>
      </c>
      <c r="F123" s="1162"/>
      <c r="G123" s="1260"/>
      <c r="H123" s="1100" t="str">
        <f>IF('Val-Dép'!H58="","",'Val-Dép'!H58)</f>
        <v>570</v>
      </c>
      <c r="I123" s="2720" t="str">
        <f>IF('Val-Dép'!H58="","",'Val-Dép'!H58)</f>
        <v>570</v>
      </c>
      <c r="L123" s="1259"/>
      <c r="M123" s="1398" t="e">
        <f>IF('Val-Dép'!#REF!="","",'Val-Dép'!#REF!)</f>
        <v>#REF!</v>
      </c>
      <c r="N123" s="1398"/>
      <c r="O123" s="1100" t="e">
        <f>IF('Val-Dép'!#REF!="","",'Val-Dép'!#REF!)</f>
        <v>#REF!</v>
      </c>
      <c r="P123" s="1171"/>
      <c r="Q123" s="1023"/>
      <c r="R123" s="1027"/>
      <c r="S123" s="1029"/>
      <c r="T123" s="1026"/>
      <c r="U123" s="1023"/>
      <c r="V123" s="1008"/>
      <c r="W123" s="3545"/>
      <c r="X123" s="3549"/>
      <c r="Y123" s="1028"/>
      <c r="Z123" s="3550"/>
    </row>
    <row r="124" spans="2:26" ht="14.1" customHeight="1" x14ac:dyDescent="0.25">
      <c r="B124" s="1081"/>
      <c r="C124" s="1100" t="e">
        <f>IF('Val-Dép'!#REF!="","",'Val-Dép'!#REF!)</f>
        <v>#REF!</v>
      </c>
      <c r="D124" s="1100" t="str">
        <f>IF('Val-Dép'!D59="","",'Val-Dép'!D59)</f>
        <v>crédit-1an</v>
      </c>
      <c r="F124" s="1162"/>
      <c r="H124" s="1100" t="str">
        <f>IF('Val-Dép'!G59="","",'Val-Dép'!G59)</f>
        <v>crédit+1an</v>
      </c>
      <c r="I124" s="2720" t="str">
        <f>IF('Val-Dép'!H59="","",'Val-Dép'!H59)</f>
        <v>173</v>
      </c>
      <c r="M124" s="1100" t="e">
        <f>IF('Val-Dép'!#REF!="","",'Val-Dép'!#REF!)</f>
        <v>#REF!</v>
      </c>
      <c r="N124" s="1100"/>
      <c r="O124" s="1100" t="e">
        <f>IF('Val-Dép'!#REF!="","",'Val-Dép'!#REF!)</f>
        <v>#REF!</v>
      </c>
      <c r="P124" s="1171"/>
      <c r="Q124" s="1023"/>
      <c r="R124" s="1027"/>
      <c r="S124" s="1029"/>
      <c r="T124" s="1026"/>
      <c r="U124" s="1023"/>
      <c r="V124" s="1008"/>
      <c r="W124" s="3545"/>
      <c r="X124" s="3549"/>
      <c r="Y124" s="1028"/>
      <c r="Z124" s="3550"/>
    </row>
    <row r="125" spans="2:26" ht="14.1" customHeight="1" thickBot="1" x14ac:dyDescent="0.35">
      <c r="B125" s="1081"/>
      <c r="C125" s="1100" t="e">
        <f>IF('Val-Dép'!#REF!="","",'Val-Dép'!#REF!)</f>
        <v>#REF!</v>
      </c>
      <c r="D125" s="1100" t="str">
        <f>IF('Val-Dép'!D60="","",'Val-Dép'!D60)</f>
        <v>crédit-1an</v>
      </c>
      <c r="E125" s="1081"/>
      <c r="F125" s="1162"/>
      <c r="H125" s="1100" t="str">
        <f>IF('Val-Dép'!G60="","",'Val-Dép'!G60)</f>
        <v>crédit+1an</v>
      </c>
      <c r="I125" s="2720" t="str">
        <f>IF('Val-Dép'!H60="","",'Val-Dép'!H60)</f>
        <v>173</v>
      </c>
      <c r="M125" s="1100" t="e">
        <f>IF('Val-Dép'!#REF!="","",'Val-Dép'!#REF!)</f>
        <v>#REF!</v>
      </c>
      <c r="N125" s="1100"/>
      <c r="O125" s="1100" t="e">
        <f>IF('Val-Dép'!#REF!="","",'Val-Dép'!#REF!)</f>
        <v>#REF!</v>
      </c>
      <c r="P125" s="1171"/>
      <c r="Q125" s="836"/>
      <c r="R125" s="3551"/>
      <c r="S125" s="1030"/>
      <c r="T125" s="1031"/>
      <c r="U125" s="836"/>
      <c r="V125" s="3552"/>
      <c r="W125" s="3552"/>
      <c r="X125" s="3553"/>
      <c r="Y125" s="3554"/>
      <c r="Z125" s="3552"/>
    </row>
    <row r="126" spans="2:26" ht="14.1" customHeight="1" thickBot="1" x14ac:dyDescent="0.3">
      <c r="B126" s="1081"/>
      <c r="C126" s="1100" t="e">
        <f>IF('Val-Dép'!#REF!="","",'Val-Dép'!#REF!)</f>
        <v>#REF!</v>
      </c>
      <c r="D126" s="1100" t="str">
        <f>IF('Val-Dép'!D61="","",'Val-Dép'!D61)</f>
        <v>crédit-1an</v>
      </c>
      <c r="E126" s="1081"/>
      <c r="F126" s="1162"/>
      <c r="H126" s="1100" t="e">
        <f>IF('Val-Dép'!#REF!="","",'Val-Dép'!#REF!)</f>
        <v>#REF!</v>
      </c>
      <c r="I126" s="2720" t="str">
        <f>IF('Val-Dép'!H61="","",'Val-Dép'!H61)</f>
        <v>173</v>
      </c>
      <c r="K126" s="1202"/>
      <c r="M126" s="1100" t="e">
        <f>IF('Val-Dép'!#REF!="","",'Val-Dép'!#REF!)</f>
        <v>#REF!</v>
      </c>
      <c r="N126" s="1100"/>
      <c r="O126" s="1687" t="e">
        <f>IF('Val-Dép'!#REF!="","",'Val-Dép'!#REF!)</f>
        <v>#REF!</v>
      </c>
      <c r="Q126" s="468"/>
      <c r="R126" s="3555"/>
      <c r="S126" s="3556"/>
      <c r="T126" s="3556"/>
      <c r="U126" s="468"/>
      <c r="V126" s="3557"/>
      <c r="W126" s="3557"/>
      <c r="X126" s="3557"/>
      <c r="Y126" s="3558"/>
      <c r="Z126" s="3559"/>
    </row>
    <row r="127" spans="2:26" ht="14.1" customHeight="1" thickTop="1" thickBot="1" x14ac:dyDescent="0.3">
      <c r="B127" s="1261"/>
      <c r="C127" s="1100" t="e">
        <f>IF('Val-Dép'!#REF!="","",'Val-Dép'!#REF!)</f>
        <v>#REF!</v>
      </c>
      <c r="D127" s="1100" t="str">
        <f>IF('Val-Dép'!D62="","",'Val-Dép'!D62)</f>
        <v>Emprunt Bq-1an</v>
      </c>
      <c r="E127" s="1261"/>
      <c r="F127" s="1162"/>
      <c r="G127" s="1262"/>
      <c r="H127" s="1263" t="str">
        <f>IF('Val-Dép'!G62="","",'Val-Dép'!G62)</f>
        <v>crédit+1an</v>
      </c>
      <c r="I127" s="2721" t="str">
        <f>IF('Val-Dép'!H62="","",'Val-Dép'!H62)</f>
        <v>173</v>
      </c>
      <c r="J127" s="1262"/>
      <c r="K127" s="1204"/>
      <c r="M127" s="1687" t="e">
        <f>IF('Val-Dép'!#REF!="","",'Val-Dép'!#REF!)</f>
        <v>#REF!</v>
      </c>
      <c r="N127" s="1687"/>
      <c r="Q127" s="1255"/>
    </row>
    <row r="128" spans="2:26" ht="14.1" customHeight="1" thickBot="1" x14ac:dyDescent="0.3">
      <c r="B128" s="1081" t="s">
        <v>186</v>
      </c>
      <c r="C128" s="1100"/>
      <c r="D128" s="1168"/>
      <c r="E128" s="1081" t="s">
        <v>185</v>
      </c>
      <c r="F128" s="1162"/>
      <c r="G128" s="1264" t="s">
        <v>203</v>
      </c>
      <c r="H128" s="1265">
        <f>C128-D128</f>
        <v>0</v>
      </c>
      <c r="K128" s="1209"/>
      <c r="L128" s="1171"/>
      <c r="M128" s="1170"/>
      <c r="N128" s="1170"/>
      <c r="O128" s="1081"/>
      <c r="P128" s="1081"/>
      <c r="Q128" s="1255"/>
    </row>
    <row r="129" spans="2:31" ht="14.1" customHeight="1" x14ac:dyDescent="0.3">
      <c r="B129" s="1081"/>
      <c r="C129" s="1168"/>
      <c r="D129" s="1168"/>
      <c r="E129" s="1081"/>
      <c r="F129" s="1162"/>
      <c r="G129" s="1081"/>
      <c r="H129" s="1168"/>
      <c r="K129" s="1081"/>
      <c r="L129" s="1162"/>
      <c r="M129" s="1081"/>
      <c r="N129" s="1081"/>
      <c r="O129" s="3605"/>
      <c r="P129" s="1081"/>
      <c r="Q129" s="1255"/>
      <c r="R129" s="1266" t="s">
        <v>1990</v>
      </c>
      <c r="S129" s="1266" t="s">
        <v>1989</v>
      </c>
      <c r="T129" s="4214" t="s">
        <v>3</v>
      </c>
      <c r="U129" s="4215"/>
      <c r="V129" s="4215"/>
      <c r="W129" s="4215"/>
      <c r="X129" s="4215"/>
    </row>
    <row r="130" spans="2:31" ht="14.1" customHeight="1" thickBot="1" x14ac:dyDescent="0.35">
      <c r="B130" s="1081"/>
      <c r="C130" s="4237" t="s">
        <v>2218</v>
      </c>
      <c r="D130" s="4237"/>
      <c r="E130" s="1081"/>
      <c r="F130" s="1162"/>
      <c r="G130" s="1081"/>
      <c r="H130" s="4237" t="s">
        <v>2219</v>
      </c>
      <c r="I130" s="4237"/>
      <c r="J130" s="1080"/>
      <c r="K130" s="1081"/>
      <c r="L130" s="1162"/>
      <c r="M130" s="3605" t="s">
        <v>2220</v>
      </c>
      <c r="N130" s="3605"/>
      <c r="P130" s="1255"/>
      <c r="Q130" s="1271" t="s">
        <v>1991</v>
      </c>
      <c r="R130" s="1271" t="s">
        <v>1992</v>
      </c>
      <c r="S130" s="1070"/>
      <c r="T130" s="1272"/>
      <c r="U130" s="1272"/>
      <c r="V130" s="1272"/>
      <c r="W130" s="4217" t="s">
        <v>1715</v>
      </c>
      <c r="X130" s="4217"/>
      <c r="Y130" s="4217"/>
      <c r="Z130" s="4217"/>
      <c r="AA130" s="4217"/>
      <c r="AB130" s="4217"/>
      <c r="AC130" s="4217"/>
      <c r="AD130" s="4217"/>
      <c r="AE130" s="4217"/>
    </row>
    <row r="131" spans="2:31" ht="14.1" customHeight="1" thickBot="1" x14ac:dyDescent="0.3">
      <c r="B131" s="1081"/>
      <c r="C131" s="1267" t="s">
        <v>2018</v>
      </c>
      <c r="D131" s="1267" t="s">
        <v>2017</v>
      </c>
      <c r="E131" s="1268"/>
      <c r="F131" s="1269"/>
      <c r="G131" s="1270"/>
      <c r="H131" s="1267" t="s">
        <v>2018</v>
      </c>
      <c r="I131" s="2722" t="s">
        <v>2017</v>
      </c>
      <c r="J131" s="1270"/>
      <c r="K131" s="1081"/>
      <c r="L131" s="1412"/>
      <c r="M131" s="1267" t="s">
        <v>2018</v>
      </c>
      <c r="N131" s="1267" t="s">
        <v>2017</v>
      </c>
      <c r="O131" s="1691"/>
      <c r="P131" s="1255"/>
      <c r="Q131" s="1273"/>
      <c r="R131" s="1274"/>
      <c r="S131" s="1209"/>
      <c r="T131" s="1209"/>
      <c r="U131" s="1209"/>
      <c r="V131" s="1209"/>
      <c r="W131" s="1209"/>
      <c r="X131" s="1209"/>
      <c r="Y131" s="1209"/>
      <c r="Z131" s="1209"/>
      <c r="AA131" s="1209"/>
      <c r="AB131" s="1209"/>
      <c r="AC131" s="1209"/>
      <c r="AD131" s="1209"/>
      <c r="AE131" s="1275"/>
    </row>
    <row r="132" spans="2:31" ht="14.1" customHeight="1" thickTop="1" thickBot="1" x14ac:dyDescent="0.3">
      <c r="B132" s="1081"/>
      <c r="C132" s="4221" t="s">
        <v>3</v>
      </c>
      <c r="D132" s="4221"/>
      <c r="E132" s="1081"/>
      <c r="F132" s="1162"/>
      <c r="G132" s="4240" t="s">
        <v>3</v>
      </c>
      <c r="H132" s="4240"/>
      <c r="I132" s="4240"/>
      <c r="J132" s="4240"/>
      <c r="K132" s="1081"/>
      <c r="L132" s="1691" t="s">
        <v>3</v>
      </c>
      <c r="M132" s="1691"/>
      <c r="N132" s="1691"/>
      <c r="Q132" s="1276" t="s">
        <v>217</v>
      </c>
      <c r="R132" s="1277" t="s">
        <v>216</v>
      </c>
      <c r="S132" s="1278"/>
      <c r="T132" s="1081"/>
      <c r="U132" s="1170"/>
      <c r="V132" s="1081"/>
      <c r="W132" s="1081"/>
      <c r="X132" s="1279"/>
      <c r="Y132" s="1279"/>
      <c r="Z132" s="1081"/>
      <c r="AA132" s="1081"/>
      <c r="AB132" s="1081"/>
      <c r="AC132" s="1081"/>
      <c r="AD132" s="1081"/>
      <c r="AE132" s="1280"/>
    </row>
    <row r="133" spans="2:31" ht="14.1" customHeight="1" thickTop="1" thickBot="1" x14ac:dyDescent="0.35">
      <c r="B133" s="4231" t="s">
        <v>210</v>
      </c>
      <c r="C133" s="4232"/>
      <c r="D133" s="4229" t="s">
        <v>209</v>
      </c>
      <c r="E133" s="4230"/>
      <c r="F133" s="1162"/>
      <c r="H133" s="1255"/>
      <c r="I133" s="2706"/>
      <c r="K133" s="1081"/>
      <c r="O133" s="1693"/>
      <c r="Q133" s="1281" t="s">
        <v>1675</v>
      </c>
      <c r="R133" s="1282" t="s">
        <v>214</v>
      </c>
      <c r="S133" s="1283"/>
      <c r="T133" s="1081"/>
      <c r="U133" s="1168"/>
      <c r="V133" s="1081"/>
      <c r="W133" s="1081" t="s">
        <v>1681</v>
      </c>
      <c r="X133" s="1282" t="s">
        <v>214</v>
      </c>
      <c r="Y133" s="1081"/>
      <c r="Z133" s="1081"/>
      <c r="AA133" s="1081"/>
      <c r="AB133" s="1081" t="s">
        <v>1682</v>
      </c>
      <c r="AC133" s="1282" t="s">
        <v>214</v>
      </c>
      <c r="AD133" s="1081"/>
      <c r="AE133" s="1280"/>
    </row>
    <row r="134" spans="2:31" ht="14.1" customHeight="1" thickTop="1" thickBot="1" x14ac:dyDescent="0.35">
      <c r="B134" s="4219" t="s">
        <v>1625</v>
      </c>
      <c r="C134" s="4220"/>
      <c r="D134" s="4222" t="s">
        <v>1624</v>
      </c>
      <c r="E134" s="4223"/>
      <c r="G134" s="4219" t="s">
        <v>1625</v>
      </c>
      <c r="H134" s="4220"/>
      <c r="I134" s="4222" t="s">
        <v>1624</v>
      </c>
      <c r="J134" s="4223"/>
      <c r="K134" s="1081"/>
      <c r="L134" s="4219" t="s">
        <v>1625</v>
      </c>
      <c r="M134" s="4220"/>
      <c r="N134" s="1692" t="s">
        <v>1624</v>
      </c>
      <c r="O134" s="1081"/>
      <c r="P134" s="1081"/>
      <c r="Q134" s="1287" t="s">
        <v>3</v>
      </c>
      <c r="R134" s="1288" t="s">
        <v>3</v>
      </c>
      <c r="S134" s="1292" t="s">
        <v>212</v>
      </c>
      <c r="T134" s="1081"/>
      <c r="U134" s="1168"/>
      <c r="V134" s="1081"/>
      <c r="W134" s="1081"/>
      <c r="X134" s="1081"/>
      <c r="Y134" s="1081"/>
      <c r="Z134" s="1081"/>
      <c r="AA134" s="1081"/>
      <c r="AB134" s="1081"/>
      <c r="AC134" s="1081"/>
      <c r="AD134" s="1081"/>
      <c r="AE134" s="1280"/>
    </row>
    <row r="135" spans="2:31" ht="14.1" customHeight="1" thickBot="1" x14ac:dyDescent="0.35">
      <c r="B135" s="1284"/>
      <c r="C135" s="1284" t="s">
        <v>1615</v>
      </c>
      <c r="D135" s="1284" t="s">
        <v>1674</v>
      </c>
      <c r="E135" s="1285"/>
      <c r="H135" s="1286" t="s">
        <v>1652</v>
      </c>
      <c r="I135" s="2723" t="s">
        <v>1671</v>
      </c>
      <c r="K135" s="1081"/>
      <c r="M135" s="1423" t="s">
        <v>1673</v>
      </c>
      <c r="N135" s="1424" t="s">
        <v>1672</v>
      </c>
      <c r="O135" s="1183" t="s">
        <v>185</v>
      </c>
      <c r="P135" s="1290" t="s">
        <v>212</v>
      </c>
      <c r="Q135" s="1291">
        <v>440</v>
      </c>
      <c r="R135" s="2179" t="s">
        <v>1452</v>
      </c>
      <c r="S135" s="1293" t="s">
        <v>193</v>
      </c>
      <c r="T135" s="1081"/>
      <c r="U135" s="1168"/>
      <c r="V135" s="1081" t="s">
        <v>195</v>
      </c>
      <c r="W135" s="1289">
        <v>440</v>
      </c>
      <c r="X135" s="1292" t="s">
        <v>212</v>
      </c>
      <c r="Y135" s="1261" t="s">
        <v>193</v>
      </c>
      <c r="Z135" s="1081"/>
      <c r="AA135" s="1081" t="s">
        <v>195</v>
      </c>
      <c r="AB135" s="1289">
        <v>440</v>
      </c>
      <c r="AC135" s="1292" t="s">
        <v>212</v>
      </c>
      <c r="AD135" s="1294" t="s">
        <v>193</v>
      </c>
      <c r="AE135" s="1295"/>
    </row>
    <row r="136" spans="2:31" ht="14.1" customHeight="1" thickBot="1" x14ac:dyDescent="0.35">
      <c r="B136" s="1180" t="s">
        <v>186</v>
      </c>
      <c r="C136" s="1181">
        <v>550</v>
      </c>
      <c r="D136" s="1182" t="s">
        <v>169</v>
      </c>
      <c r="E136" s="1183" t="s">
        <v>185</v>
      </c>
      <c r="G136" s="1180" t="s">
        <v>186</v>
      </c>
      <c r="H136" s="1289">
        <v>560</v>
      </c>
      <c r="I136" s="2724" t="s">
        <v>2286</v>
      </c>
      <c r="J136" s="1183" t="s">
        <v>185</v>
      </c>
      <c r="K136" s="1081"/>
      <c r="L136" s="1180" t="s">
        <v>186</v>
      </c>
      <c r="M136" s="1289">
        <v>570</v>
      </c>
      <c r="N136" s="1182" t="s">
        <v>171</v>
      </c>
      <c r="O136" s="1187"/>
      <c r="P136" s="1301" t="s">
        <v>4</v>
      </c>
      <c r="Q136" s="1302" t="s">
        <v>211</v>
      </c>
      <c r="R136" s="1303">
        <f>IF(ISNA(VLOOKUP($R$135,'VAL-INIT'!$J$4:$L$63,3,FALSE)),,VLOOKUP($R$135,'VAL-INIT'!$J$4:$L$63,3,FALSE))</f>
        <v>0</v>
      </c>
      <c r="S136" s="1304" t="s">
        <v>207</v>
      </c>
      <c r="T136" s="1081"/>
      <c r="U136" s="1168"/>
      <c r="V136" s="1081"/>
      <c r="W136" s="1305" t="s">
        <v>1676</v>
      </c>
      <c r="X136" s="1303"/>
      <c r="Y136" s="1306"/>
      <c r="Z136" s="2784" t="s">
        <v>1643</v>
      </c>
      <c r="AA136" s="1081"/>
      <c r="AB136" s="1081" t="s">
        <v>208</v>
      </c>
      <c r="AC136" s="1303"/>
      <c r="AD136" s="2706"/>
      <c r="AE136" s="2785" t="s">
        <v>1643</v>
      </c>
    </row>
    <row r="137" spans="2:31" ht="14.1" customHeight="1" x14ac:dyDescent="0.3">
      <c r="B137" s="1296" t="s">
        <v>207</v>
      </c>
      <c r="C137" s="2459">
        <f>IF(ISNA(VLOOKUP($D$136,'VAL-INIT'!$D$4:$F$90,3,FALSE)),,VLOOKUP($D$136,'VAL-INIT'!$D$4:$F$90,3,FALSE))</f>
        <v>25000</v>
      </c>
      <c r="D137" s="1298" t="s">
        <v>208</v>
      </c>
      <c r="E137" s="1299"/>
      <c r="G137" s="1185" t="s">
        <v>207</v>
      </c>
      <c r="H137" s="1219">
        <f>IF(ISNA(VLOOKUP($I$136,'VAL-INIT'!$D$4:$F$90,3,FALSE)),,VLOOKUP($I$136,'VAL-INIT'!$D$4:$F$90,3,FALSE))</f>
        <v>4800</v>
      </c>
      <c r="I137" s="2708" t="s">
        <v>206</v>
      </c>
      <c r="J137" s="1221"/>
      <c r="K137" s="1081"/>
      <c r="L137" s="1185" t="s">
        <v>207</v>
      </c>
      <c r="M137" s="1297">
        <f>IF(ISNA(VLOOKUP($N$136,'VAL-INIT'!$D$4:$F90,3,FALSE)),,VLOOKUP($N$136,'VAL-INIT'!$D$4:$F$90,3,FALSE))</f>
        <v>800</v>
      </c>
      <c r="N137" s="1220" t="s">
        <v>206</v>
      </c>
      <c r="O137" s="1431"/>
      <c r="P137" s="1311" t="str">
        <f>IF(( 'Val-Dép'!I35&lt;&gt;"note de crédit" ),"0",VLOOKUP('Val-Dép'!I35,'Val-Dép'!I35:AL35,21,FALSE ))</f>
        <v>0</v>
      </c>
      <c r="Q137" s="2613" t="str">
        <f>IF(AND( 'Val-Dép'!AL35=550, 'Val-Dép'!I35&lt;&gt;"note de crédit"),VLOOKUP('Val-Dép'!AL35,'Val-Dép'!AL35:AM35,2,FALSE ),"0")</f>
        <v>0</v>
      </c>
      <c r="R137" s="2229" t="str">
        <f>IF(AND( 'Val-Dép'!H35="Banque", 'Val-Dép'!I35&lt;&gt;"note de crédit"),VLOOKUP('Val-Dép'!H35,'Val-Dép'!H35:AM35,21,FALSE ),"0")</f>
        <v>0</v>
      </c>
      <c r="S137" s="1314">
        <v>35</v>
      </c>
      <c r="T137" s="1081" t="s">
        <v>2003</v>
      </c>
      <c r="U137" s="1168"/>
      <c r="V137" s="1314">
        <v>35</v>
      </c>
      <c r="W137" s="1312" t="str">
        <f>IF(AND( 'Val-Dép'!AL35=560, 'Val-Dép'!I35&lt;&gt;"note de crédit"),VLOOKUP('Val-Dép'!AL35,'Val-Dép'!AL35:AM35,2,FALSE ),"0")</f>
        <v>0</v>
      </c>
      <c r="X137" s="1313" t="str">
        <f>IF(AND( 'Val-Dép'!H35="Bq post", 'Val-Dép'!I35&lt;&gt;"note de crédit"),VLOOKUP('Val-Dép'!H35,'Val-Dép'!H35:AM35,21,FALSE ),"0")</f>
        <v>0</v>
      </c>
      <c r="Y137" s="1315" t="str">
        <f>IF(('Val-Dép'!H35="Marchandise"),VLOOKUP('Val-Dép'!H35,'Val-Dép'!H35:AB35,18,FALSE),"")</f>
        <v/>
      </c>
      <c r="Z137" s="1081"/>
      <c r="AA137" s="1081"/>
      <c r="AB137" s="1312" t="str">
        <f>IF(AND( 'Val-Dép'!AL35=570, 'Val-Dép'!I35&lt;&gt;"note de crédit"),VLOOKUP('Val-Dép'!AL35,'Val-Dép'!AL35:AM35,2,FALSE ),"0")</f>
        <v>0</v>
      </c>
      <c r="AC137" s="1313" t="str">
        <f>IF(AND( 'Val-Dép'!H35="Caisse", 'Val-Dép'!I35&lt;&gt;"note de crédit"),VLOOKUP('Val-Dép'!H35,'Val-Dép'!H35:AM35,21,FALSE ),"0")</f>
        <v>0</v>
      </c>
      <c r="AD137" s="2706"/>
      <c r="AE137" s="1280"/>
    </row>
    <row r="138" spans="2:31" ht="14.1" customHeight="1" x14ac:dyDescent="0.3">
      <c r="B138" s="1307">
        <v>35</v>
      </c>
      <c r="C138" s="1224" t="str">
        <f>IF(AND( 'Val-Dép'!AE13=550, 'Val-Dép'!I13&lt;&gt;"note de crédit"),VLOOKUP('Val-Dép'!AE13,'Val-Dép'!AE13:AF13,2,FALSE ),"0")</f>
        <v>0</v>
      </c>
      <c r="D138" s="1224" t="str">
        <f>IF(AND( 'Val-Dép'!H35="Banque", 'Val-Dép'!I35&lt;&gt;"note de crédit"),VLOOKUP('Val-Dép'!AH35,'Val-Dép'!AH35:AM35,6,FALSE ),"0")</f>
        <v>0</v>
      </c>
      <c r="E138" s="1308"/>
      <c r="G138" s="1168"/>
      <c r="H138" s="1309" t="str">
        <f>IF(AND( 'Val-Dép'!H13="Bq post", 'Val-Dép'!I13&lt;&gt;"note de crédit"),VLOOKUP('Val-Dép'!AA13,'Val-Dép'!AA13:AF13,6,FALSE ),"0")</f>
        <v>0</v>
      </c>
      <c r="I138" s="2715" t="str">
        <f>IF(AND( 'Val-Dép'!H35="Bq post", 'Val-Dép'!I35&lt;&gt;"note de crédit"),VLOOKUP('Val-Dép'!AH35,'Val-Dép'!AH35:AM35,6,FALSE ),"0")</f>
        <v>0</v>
      </c>
      <c r="J138" s="1225"/>
      <c r="K138" s="1081"/>
      <c r="M138" s="1309" t="str">
        <f>IF(AND( 'Val-Dép'!H13="Caisse", 'Val-Dép'!I13&lt;&gt;"note de crédit"),VLOOKUP('Val-Dép'!AA13,'Val-Dép'!AA13:AF13,6,FALSE ),"0")</f>
        <v>0</v>
      </c>
      <c r="N138" s="1223" t="str">
        <f>IF(AND( 'Val-Dép'!H35="Caisse", 'Val-Dép'!I35&lt;&gt;"note de crédit"),VLOOKUP('Val-Dép'!AH35,'Val-Dép'!AH35:AM35,6,FALSE ),"0")</f>
        <v>0</v>
      </c>
      <c r="O138" s="1431"/>
      <c r="P138" s="1311" t="str">
        <f>IF(( 'Val-Dép'!I36&lt;&gt;"note de crédit" ),"0",VLOOKUP('Val-Dép'!I36,'Val-Dép'!I36:AL36,21,FALSE ))</f>
        <v>0</v>
      </c>
      <c r="Q138" s="2230" t="str">
        <f>IF(AND( 'Val-Dép'!AL36=550, 'Val-Dép'!I36&lt;&gt;"note de crédit"),VLOOKUP('Val-Dép'!AL36,'Val-Dép'!AL36:AM36,2,FALSE ),"0")</f>
        <v>0</v>
      </c>
      <c r="R138" s="2229" t="str">
        <f>IF(AND( 'Val-Dép'!H38="Banque", 'Val-Dép'!I36&lt;&gt;"note de crédit"),VLOOKUP('Val-Dép'!H38,'Val-Dép'!H36:AM36,21,FALSE ),"0")</f>
        <v>0</v>
      </c>
      <c r="S138" s="1314">
        <v>36</v>
      </c>
      <c r="T138" s="1081" t="s">
        <v>2003</v>
      </c>
      <c r="U138" s="1168"/>
      <c r="V138" s="1314">
        <v>36</v>
      </c>
      <c r="W138" s="1312" t="str">
        <f>IF(AND( 'Val-Dép'!AL36=560, 'Val-Dép'!I36&lt;&gt;"note de crédit"),VLOOKUP('Val-Dép'!AL36,'Val-Dép'!AL36:AM36,2,FALSE ),"0")</f>
        <v>0</v>
      </c>
      <c r="X138" s="1313" t="str">
        <f>IF(AND( 'Val-Dép'!H38="Bq post", 'Val-Dép'!I36&lt;&gt;"note de crédit"),VLOOKUP('Val-Dép'!H38,'Val-Dép'!H36:AM36,21,FALSE ),"0")</f>
        <v>0</v>
      </c>
      <c r="Y138" s="1315" t="str">
        <f>IF(('Val-Dép'!H38="Marchandise"),VLOOKUP('Val-Dép'!H38,'Val-Dép'!H36:AB36,18,FALSE),"")</f>
        <v/>
      </c>
      <c r="Z138" s="1081"/>
      <c r="AA138" s="1081"/>
      <c r="AB138" s="1312" t="str">
        <f>IF(AND( 'Val-Dép'!AL36=570, 'Val-Dép'!I36&lt;&gt;"note de crédit"),VLOOKUP('Val-Dép'!AL36,'Val-Dép'!AL36:AM36,2,FALSE ),"0")</f>
        <v>0</v>
      </c>
      <c r="AC138" s="1313" t="str">
        <f>IF(AND( 'Val-Dép'!H38="Caisse", 'Val-Dép'!I36&lt;&gt;"note de crédit"),VLOOKUP('Val-Dép'!H38,'Val-Dép'!H36:AM36,21,FALSE ),"0")</f>
        <v>0</v>
      </c>
      <c r="AD138" s="2706"/>
      <c r="AE138" s="1280"/>
    </row>
    <row r="139" spans="2:31" ht="14.1" customHeight="1" x14ac:dyDescent="0.3">
      <c r="B139" s="1316">
        <v>36</v>
      </c>
      <c r="C139" s="1227" t="str">
        <f>IF(AND( 'Val-Dép'!AE14=550, 'Val-Dép'!I14&lt;&gt;"note de crédit"),VLOOKUP('Val-Dép'!AE14,'Val-Dép'!AE14:AF14,2,FALSE ),"0")</f>
        <v>0</v>
      </c>
      <c r="D139" s="1227" t="str">
        <f>IF(AND( 'Val-Dép'!H38="Banque", 'Val-Dép'!I36&lt;&gt;"note de crédit"),VLOOKUP('Val-Dép'!AH36,'Val-Dép'!AH36:AM36,6,FALSE ),"0")</f>
        <v>0</v>
      </c>
      <c r="E139" s="1317"/>
      <c r="G139" s="1081"/>
      <c r="H139" s="1309" t="str">
        <f>IF(AND( 'Val-Dép'!H14="Bq post", 'Val-Dép'!I14&lt;&gt;"note de crédit"),VLOOKUP('Val-Dép'!AA14,'Val-Dép'!AA14:AF14,6,FALSE ),"0")</f>
        <v>0</v>
      </c>
      <c r="I139" s="2715" t="str">
        <f>IF(AND( 'Val-Dép'!H38="Bq post", 'Val-Dép'!I36&lt;&gt;"note de crédit"),VLOOKUP('Val-Dép'!AH36,'Val-Dép'!AH36:AM36,6,FALSE ),"0")</f>
        <v>0</v>
      </c>
      <c r="J139" s="1225"/>
      <c r="K139" s="1081"/>
      <c r="M139" s="1309" t="str">
        <f>IF(AND( 'Val-Dép'!H14="Caisse", 'Val-Dép'!I14&lt;&gt;"note de crédit"),VLOOKUP('Val-Dép'!AA14,'Val-Dép'!AA14:AF14,6,FALSE ),"0")</f>
        <v>0</v>
      </c>
      <c r="N139" s="1223" t="str">
        <f>IF(AND( 'Val-Dép'!H38="Caisse", 'Val-Dép'!I36&lt;&gt;"note de crédit"),VLOOKUP('Val-Dép'!AH36,'Val-Dép'!AH36:AM36,6,FALSE ),"0")</f>
        <v>0</v>
      </c>
      <c r="O139" s="1431"/>
      <c r="P139" s="1311" t="str">
        <f>IF(( 'Val-Dép'!I37&lt;&gt;"note de crédit" ),"0",VLOOKUP('Val-Dép'!I37,'Val-Dép'!I37:AL37,21,FALSE ))</f>
        <v>0</v>
      </c>
      <c r="Q139" s="2230" t="str">
        <f>IF(AND( 'Val-Dép'!AL37=550, 'Val-Dép'!I37&lt;&gt;"note de crédit"),VLOOKUP('Val-Dép'!AL37,'Val-Dép'!AL37:AM37,2,FALSE ),"0")</f>
        <v>0</v>
      </c>
      <c r="R139" s="2229" t="str">
        <f>IF(AND( 'Val-Dép'!H39="Banque", 'Val-Dép'!I37&lt;&gt;"note de crédit"),VLOOKUP('Val-Dép'!H39,'Val-Dép'!H37:AM37,21,FALSE ),"0")</f>
        <v>0</v>
      </c>
      <c r="S139" s="1318">
        <v>37</v>
      </c>
      <c r="T139" s="1081" t="s">
        <v>2003</v>
      </c>
      <c r="U139" s="1170"/>
      <c r="V139" s="1314">
        <v>37</v>
      </c>
      <c r="W139" s="1312" t="str">
        <f>IF(AND( 'Val-Dép'!AL37=560, 'Val-Dép'!I37&lt;&gt;"note de crédit"),VLOOKUP('Val-Dép'!AL37,'Val-Dép'!AL37:AM37,2,FALSE ),"0")</f>
        <v>0</v>
      </c>
      <c r="X139" s="1313" t="str">
        <f>IF(AND( 'Val-Dép'!H39="Bq post", 'Val-Dép'!I37&lt;&gt;"note de crédit"),VLOOKUP('Val-Dép'!H39,'Val-Dép'!H37:AM37,21,FALSE ),"0")</f>
        <v>0</v>
      </c>
      <c r="Y139" s="1315" t="str">
        <f>IF(('Val-Dép'!H39="Marchandise"),VLOOKUP('Val-Dép'!H39,'Val-Dép'!H37:AB37,18,FALSE),"")</f>
        <v/>
      </c>
      <c r="Z139" s="1081"/>
      <c r="AA139" s="1081"/>
      <c r="AB139" s="1312" t="str">
        <f>IF(AND( 'Val-Dép'!AL37=570, 'Val-Dép'!I37&lt;&gt;"note de crédit"),VLOOKUP('Val-Dép'!AL37,'Val-Dép'!AL37:AM37,2,FALSE ),"0")</f>
        <v>0</v>
      </c>
      <c r="AC139" s="1313" t="str">
        <f>IF(AND( 'Val-Dép'!H39="Caisse", 'Val-Dép'!I37&lt;&gt;"note de crédit"),VLOOKUP('Val-Dép'!H39,'Val-Dép'!H37:AM37,21,FALSE ),"0")</f>
        <v>0</v>
      </c>
      <c r="AD139" s="2706"/>
      <c r="AE139" s="1280"/>
    </row>
    <row r="140" spans="2:31" ht="14.1" customHeight="1" x14ac:dyDescent="0.3">
      <c r="B140" s="1316">
        <v>37</v>
      </c>
      <c r="C140" s="1227" t="str">
        <f>IF(AND( 'Val-Dép'!AE15=550, 'Val-Dép'!I15&lt;&gt;"note de crédit"),VLOOKUP('Val-Dép'!AE15,'Val-Dép'!AE15:AF15,2,FALSE ),"0")</f>
        <v>0</v>
      </c>
      <c r="D140" s="1227" t="str">
        <f>IF(AND( 'Val-Dép'!H39="Banque", 'Val-Dép'!I37&lt;&gt;"note de crédit"),VLOOKUP('Val-Dép'!AH37,'Val-Dép'!AH37:AM37,6,FALSE ),"0")</f>
        <v>0</v>
      </c>
      <c r="E140" s="1317"/>
      <c r="H140" s="1309" t="str">
        <f>IF(AND( 'Val-Dép'!H15="Bq post", 'Val-Dép'!I15&lt;&gt;"note de crédit"),VLOOKUP('Val-Dép'!AA15,'Val-Dép'!AA15:AF15,6,FALSE ),"0")</f>
        <v>0</v>
      </c>
      <c r="I140" s="2715" t="str">
        <f>IF(AND( 'Val-Dép'!H39="Bq post", 'Val-Dép'!I37&lt;&gt;"note de crédit"),VLOOKUP('Val-Dép'!AH37,'Val-Dép'!AH37:AM37,6,FALSE ),"0")</f>
        <v>0</v>
      </c>
      <c r="J140" s="1225"/>
      <c r="K140" s="1081"/>
      <c r="M140" s="1309" t="str">
        <f>IF(AND( 'Val-Dép'!H15="Caisse", 'Val-Dép'!I15&lt;&gt;"note de crédit"),VLOOKUP('Val-Dép'!AA15,'Val-Dép'!AA15:AF15,6,FALSE ),"0")</f>
        <v>0</v>
      </c>
      <c r="N140" s="1223" t="str">
        <f>IF(AND( 'Val-Dép'!H39="Caisse", 'Val-Dép'!I37&lt;&gt;"note de crédit"),VLOOKUP('Val-Dép'!AH37,'Val-Dép'!AH37:AM37,6,FALSE ),"0")</f>
        <v>0</v>
      </c>
      <c r="O140" s="1431"/>
      <c r="P140" s="1311" t="str">
        <f>IF(( 'Val-Dép'!I38&lt;&gt;"note de crédit" ),"0",VLOOKUP('Val-Dép'!I38,'Val-Dép'!I38:AL38,21,FALSE ))</f>
        <v>0</v>
      </c>
      <c r="Q140" s="2230" t="str">
        <f>IF(AND( 'Val-Dép'!AL38=550, 'Val-Dép'!I38&lt;&gt;"note de crédit"),VLOOKUP('Val-Dép'!AL38,'Val-Dép'!AL38:AM38,2,FALSE ),"0")</f>
        <v>0</v>
      </c>
      <c r="R140" s="2229" t="str">
        <f>IF(AND( 'Val-Dép'!H40="Banque", 'Val-Dép'!I38&lt;&gt;"note de crédit"),VLOOKUP('Val-Dép'!H40,'Val-Dép'!H38:AM38,21,FALSE ),"0")</f>
        <v>0</v>
      </c>
      <c r="S140" s="1314">
        <v>38</v>
      </c>
      <c r="T140" s="1081"/>
      <c r="U140" s="1170"/>
      <c r="V140" s="1314">
        <v>38</v>
      </c>
      <c r="W140" s="1312" t="str">
        <f>IF(AND( 'Val-Dép'!AL38=560, 'Val-Dép'!I38&lt;&gt;"note de crédit"),VLOOKUP('Val-Dép'!AL38,'Val-Dép'!AL38:AM38,2,FALSE ),"0")</f>
        <v>0</v>
      </c>
      <c r="X140" s="1313" t="str">
        <f>IF(AND( 'Val-Dép'!H40="Bq post", 'Val-Dép'!I38&lt;&gt;"note de crédit"),VLOOKUP('Val-Dép'!H40,'Val-Dép'!H38:AM38,21,FALSE ),"0")</f>
        <v>0</v>
      </c>
      <c r="Y140" s="1315" t="str">
        <f>IF(('Val-Dép'!H40="Marchandise"),VLOOKUP('Val-Dép'!H40,'Val-Dép'!H38:AB38,18,FALSE),"")</f>
        <v/>
      </c>
      <c r="Z140" s="1081"/>
      <c r="AA140" s="1081"/>
      <c r="AB140" s="1312" t="str">
        <f>IF(AND( 'Val-Dép'!AL38=570, 'Val-Dép'!I38&lt;&gt;"note de crédit"),VLOOKUP('Val-Dép'!AL38,'Val-Dép'!AL38:AM38,2,FALSE ),"0")</f>
        <v>0</v>
      </c>
      <c r="AC140" s="1313" t="str">
        <f>IF(AND( 'Val-Dép'!H40="Caisse", 'Val-Dép'!I38&lt;&gt;"note de crédit"),VLOOKUP('Val-Dép'!H40,'Val-Dép'!H38:AM38,21,FALSE ),"0")</f>
        <v>0</v>
      </c>
      <c r="AD140" s="2706"/>
      <c r="AE140" s="1280"/>
    </row>
    <row r="141" spans="2:31" ht="14.1" customHeight="1" x14ac:dyDescent="0.3">
      <c r="B141" s="1316">
        <v>38</v>
      </c>
      <c r="C141" s="1227" t="str">
        <f>IF(AND( 'Val-Dép'!AE16=550, 'Val-Dép'!I16&lt;&gt;"note de crédit"),VLOOKUP('Val-Dép'!AE16,'Val-Dép'!AE16:AF16,2,FALSE ),"0")</f>
        <v>0</v>
      </c>
      <c r="D141" s="1227" t="str">
        <f>IF(AND( 'Val-Dép'!H40="Banque", 'Val-Dép'!I38&lt;&gt;"note de crédit"),VLOOKUP('Val-Dép'!AH38,'Val-Dép'!AH38:AM38,6,FALSE ),"0")</f>
        <v>0</v>
      </c>
      <c r="E141" s="1317"/>
      <c r="F141" s="1255"/>
      <c r="G141" s="1081"/>
      <c r="H141" s="1309" t="str">
        <f>IF(AND( 'Val-Dép'!H16="Bq post", 'Val-Dép'!I16&lt;&gt;"note de crédit"),VLOOKUP('Val-Dép'!AA16,'Val-Dép'!AA16:AF16,6,FALSE ),"0")</f>
        <v>0</v>
      </c>
      <c r="I141" s="2715" t="str">
        <f>IF(AND( 'Val-Dép'!H40="Bq post", 'Val-Dép'!I38&lt;&gt;"note de crédit"),VLOOKUP('Val-Dép'!AH38,'Val-Dép'!AH38:AM38,6,FALSE ),"0")</f>
        <v>0</v>
      </c>
      <c r="J141" s="1225"/>
      <c r="K141" s="1081"/>
      <c r="M141" s="1309" t="str">
        <f>IF(AND( 'Val-Dép'!H16="Caisse", 'Val-Dép'!I16&lt;&gt;"note de crédit"),VLOOKUP('Val-Dép'!AA16,'Val-Dép'!AA16:AF16,6,FALSE ),"0")</f>
        <v>0</v>
      </c>
      <c r="N141" s="1223" t="str">
        <f>IF(AND( 'Val-Dép'!H40="Caisse", 'Val-Dép'!I38&lt;&gt;"note de crédit"),VLOOKUP('Val-Dép'!AH38,'Val-Dép'!AH38:AM38,6,FALSE ),"0")</f>
        <v>0</v>
      </c>
      <c r="O141" s="1431"/>
      <c r="P141" s="1311" t="str">
        <f>IF(( 'Val-Dép'!I39&lt;&gt;"note de crédit" ),"0",VLOOKUP('Val-Dép'!I39,'Val-Dép'!I39:AL39,21,FALSE ))</f>
        <v>0</v>
      </c>
      <c r="Q141" s="2230" t="str">
        <f>IF(AND( 'Val-Dép'!AL39=550, 'Val-Dép'!I39&lt;&gt;"note de crédit"),VLOOKUP('Val-Dép'!AL39,'Val-Dép'!AL39:AM39,2,FALSE ),"0")</f>
        <v>0</v>
      </c>
      <c r="R141" s="2229" t="str">
        <f>IF(AND( 'Val-Dép'!H41="Banque", 'Val-Dép'!I39&lt;&gt;"note de crédit"),VLOOKUP('Val-Dép'!H41,'Val-Dép'!H39:AM39,21,FALSE ),"0")</f>
        <v>0</v>
      </c>
      <c r="S141" s="1314">
        <v>39</v>
      </c>
      <c r="T141" s="1081"/>
      <c r="U141" s="1168"/>
      <c r="V141" s="1314">
        <v>39</v>
      </c>
      <c r="W141" s="1312" t="str">
        <f>IF(AND( 'Val-Dép'!AL39=560, 'Val-Dép'!I39&lt;&gt;"note de crédit"),VLOOKUP('Val-Dép'!AL39,'Val-Dép'!AL39:AM39,2,FALSE ),"0")</f>
        <v>0</v>
      </c>
      <c r="X141" s="1313" t="str">
        <f>IF(AND( 'Val-Dép'!H41="Bq post", 'Val-Dép'!I39&lt;&gt;"note de crédit"),VLOOKUP('Val-Dép'!H41,'Val-Dép'!H39:AM39,21,FALSE ),"0")</f>
        <v>0</v>
      </c>
      <c r="Y141" s="1315" t="str">
        <f>IF(('Val-Dép'!H41="Marchandise"),VLOOKUP('Val-Dép'!H41,'Val-Dép'!H39:AB39,18,FALSE),"")</f>
        <v/>
      </c>
      <c r="Z141" s="1081"/>
      <c r="AA141" s="1081"/>
      <c r="AB141" s="1312" t="str">
        <f>IF(AND( 'Val-Dép'!AL39=570, 'Val-Dép'!I39&lt;&gt;"note de crédit"),VLOOKUP('Val-Dép'!AL39,'Val-Dép'!AL39:AM39,2,FALSE ),"0")</f>
        <v>0</v>
      </c>
      <c r="AC141" s="1313" t="str">
        <f>IF(AND( 'Val-Dép'!H41="Caisse", 'Val-Dép'!I39&lt;&gt;"note de crédit"),VLOOKUP('Val-Dép'!H41,'Val-Dép'!H39:AM39,21,FALSE ),"0")</f>
        <v>0</v>
      </c>
      <c r="AD141" s="2706"/>
      <c r="AE141" s="1280"/>
    </row>
    <row r="142" spans="2:31" ht="14.1" customHeight="1" x14ac:dyDescent="0.3">
      <c r="B142" s="1316">
        <v>39</v>
      </c>
      <c r="C142" s="1227" t="str">
        <f>IF(AND( 'Val-Dép'!AE17=550, 'Val-Dép'!I17&lt;&gt;"note de crédit"),VLOOKUP('Val-Dép'!AE17,'Val-Dép'!AE17:AF17,2,FALSE ),"0")</f>
        <v>0</v>
      </c>
      <c r="D142" s="1227" t="str">
        <f>IF(AND( 'Val-Dép'!H41="Banque", 'Val-Dép'!I39&lt;&gt;"note de crédit"),VLOOKUP('Val-Dép'!AH39,'Val-Dép'!AH39:AM39,6,FALSE ),"0")</f>
        <v>0</v>
      </c>
      <c r="E142" s="1319"/>
      <c r="F142" s="1255"/>
      <c r="G142" s="1081"/>
      <c r="H142" s="1309" t="str">
        <f>IF(AND( 'Val-Dép'!H17="Bq post", 'Val-Dép'!I17&lt;&gt;"note de crédit"),VLOOKUP('Val-Dép'!AA17,'Val-Dép'!AA17:AF17,6,FALSE ),"0")</f>
        <v>0</v>
      </c>
      <c r="I142" s="2715" t="str">
        <f>IF(AND( 'Val-Dép'!H41="Bq post", 'Val-Dép'!I39&lt;&gt;"note de crédit"),VLOOKUP('Val-Dép'!AH39,'Val-Dép'!AH39:AM39,6,FALSE ),"0")</f>
        <v>0</v>
      </c>
      <c r="J142" s="1225"/>
      <c r="K142" s="1081"/>
      <c r="M142" s="1309" t="str">
        <f>IF(AND( 'Val-Dép'!H17="Caisse", 'Val-Dép'!I17&lt;&gt;"note de crédit"),VLOOKUP('Val-Dép'!AA17,'Val-Dép'!AA17:AF17,6,FALSE ),"0")</f>
        <v>0</v>
      </c>
      <c r="N142" s="1223" t="str">
        <f>IF(AND( 'Val-Dép'!H41="Caisse", 'Val-Dép'!I39&lt;&gt;"note de crédit"),VLOOKUP('Val-Dép'!AH39,'Val-Dép'!AH39:AM39,6,FALSE ),"0")</f>
        <v>0</v>
      </c>
      <c r="O142" s="1688"/>
      <c r="P142" s="1311" t="str">
        <f>IF(( 'Val-Dép'!I40&lt;&gt;"note de crédit" ),"0",VLOOKUP('Val-Dép'!I40,'Val-Dép'!I40:AL40,21,FALSE ))</f>
        <v>0</v>
      </c>
      <c r="Q142" s="2230" t="str">
        <f>IF(AND( 'Val-Dép'!AL40=550, 'Val-Dép'!I40&lt;&gt;"note de crédit"),VLOOKUP('Val-Dép'!AL40,'Val-Dép'!AL40:AM40,2,FALSE ),"0")</f>
        <v>0</v>
      </c>
      <c r="R142" s="2229" t="str">
        <f>IF(AND( 'Val-Dép'!H42="Banque", 'Val-Dép'!I40&lt;&gt;"note de crédit"),VLOOKUP('Val-Dép'!H42,'Val-Dép'!H40:AM40,21,FALSE ),"0")</f>
        <v>0</v>
      </c>
      <c r="S142" s="1314">
        <v>40</v>
      </c>
      <c r="T142" s="1081"/>
      <c r="U142" s="1168"/>
      <c r="V142" s="1314">
        <v>40</v>
      </c>
      <c r="W142" s="1312" t="str">
        <f>IF(AND( 'Val-Dép'!AL40=560, 'Val-Dép'!I40&lt;&gt;"note de crédit"),VLOOKUP('Val-Dép'!AL40,'Val-Dép'!AL40:AM40,2,FALSE ),"0")</f>
        <v>0</v>
      </c>
      <c r="X142" s="1313" t="str">
        <f>IF(AND( 'Val-Dép'!H42="Bq post", 'Val-Dép'!I40&lt;&gt;"note de crédit"),VLOOKUP('Val-Dép'!H42,'Val-Dép'!H40:AM40,21,FALSE ),"0")</f>
        <v>0</v>
      </c>
      <c r="Y142" s="1315" t="str">
        <f>IF(('Val-Dép'!H42="Marchandise"),VLOOKUP('Val-Dép'!H42,'Val-Dép'!H40:AB40,18,FALSE),"")</f>
        <v/>
      </c>
      <c r="Z142" s="1080"/>
      <c r="AA142" s="1081"/>
      <c r="AB142" s="1312" t="str">
        <f>IF(AND( 'Val-Dép'!AL40=570, 'Val-Dép'!I40&lt;&gt;"note de crédit"),VLOOKUP('Val-Dép'!AL40,'Val-Dép'!AL40:AM40,2,FALSE ),"0")</f>
        <v>0</v>
      </c>
      <c r="AC142" s="1313" t="str">
        <f>IF(AND( 'Val-Dép'!H42="Caisse", 'Val-Dép'!I40&lt;&gt;"note de crédit"),VLOOKUP('Val-Dép'!H42,'Val-Dép'!H40:AM40,21,FALSE ),"0")</f>
        <v>0</v>
      </c>
      <c r="AD142" s="2706"/>
      <c r="AE142" s="1280"/>
    </row>
    <row r="143" spans="2:31" ht="14.1" customHeight="1" x14ac:dyDescent="0.3">
      <c r="B143" s="1320" t="s">
        <v>359</v>
      </c>
      <c r="C143" s="1227" t="str">
        <f>IF(AND( 'Val-Dép'!AE18=550, 'Val-Dép'!I18&lt;&gt;"note de crédit"),VLOOKUP('Val-Dép'!AE18,'Val-Dép'!AE18:AF18,2,FALSE ),"0")</f>
        <v>0</v>
      </c>
      <c r="D143" s="1227" t="str">
        <f>IF(AND( 'Val-Dép'!H42="Banque", 'Val-Dép'!I40&lt;&gt;"note de crédit"),VLOOKUP('Val-Dép'!AH40,'Val-Dép'!AH40:AM40,6,FALSE ),"0")</f>
        <v>0</v>
      </c>
      <c r="E143" s="1319"/>
      <c r="F143" s="1255"/>
      <c r="H143" s="1309" t="str">
        <f>IF(AND( 'Val-Dép'!H18="Bq post", 'Val-Dép'!I18&lt;&gt;"note de crédit"),VLOOKUP('Val-Dép'!AA18,'Val-Dép'!AA18:AF18,6,FALSE ),"0")</f>
        <v>0</v>
      </c>
      <c r="I143" s="2715" t="str">
        <f>IF(AND( 'Val-Dép'!H42="Bq post", 'Val-Dép'!I40&lt;&gt;"note de crédit"),VLOOKUP('Val-Dép'!AH40,'Val-Dép'!AH40:AM40,6,FALSE ),"0")</f>
        <v>0</v>
      </c>
      <c r="J143" s="1225"/>
      <c r="K143" s="1081"/>
      <c r="M143" s="1309" t="str">
        <f>IF(AND( 'Val-Dép'!H18="Caisse", 'Val-Dép'!I18&lt;&gt;"note de crédit"),VLOOKUP('Val-Dép'!AA18,'Val-Dép'!AA18:AF18,6,FALSE ),"0")</f>
        <v>0</v>
      </c>
      <c r="N143" s="1223" t="str">
        <f>IF(AND( 'Val-Dép'!H42="Caisse", 'Val-Dép'!I40&lt;&gt;"note de crédit"),VLOOKUP('Val-Dép'!AH40,'Val-Dép'!AH40:AM40,6,FALSE ),"0")</f>
        <v>0</v>
      </c>
      <c r="O143" s="1348"/>
      <c r="P143" s="1311" t="str">
        <f>IF(( 'Val-Dép'!I41&lt;&gt;"note de crédit" ),"0",VLOOKUP('Val-Dép'!I41,'Val-Dép'!I41:AL41,21,FALSE ))</f>
        <v>0</v>
      </c>
      <c r="Q143" s="2230" t="str">
        <f>IF(AND( 'Val-Dép'!AL41=550, 'Val-Dép'!I41&lt;&gt;"note de crédit"),VLOOKUP('Val-Dép'!AL41,'Val-Dép'!AL41:AM41,2,FALSE ),"0")</f>
        <v>0</v>
      </c>
      <c r="R143" s="2229" t="str">
        <f>IF(AND( 'Val-Dép'!H43="Banque", 'Val-Dép'!I41&lt;&gt;"note de crédit"),VLOOKUP('Val-Dép'!H43,'Val-Dép'!H41:AM41,21,FALSE ),"0")</f>
        <v>0</v>
      </c>
      <c r="S143" s="1314">
        <v>41</v>
      </c>
      <c r="T143" s="1081"/>
      <c r="U143" s="1168"/>
      <c r="V143" s="1314">
        <v>41</v>
      </c>
      <c r="W143" s="1312" t="str">
        <f>IF(AND( 'Val-Dép'!AL41=560, 'Val-Dép'!I41&lt;&gt;"note de crédit"),VLOOKUP('Val-Dép'!AL41,'Val-Dép'!AL41:AM41,2,FALSE ),"0")</f>
        <v>0</v>
      </c>
      <c r="X143" s="1313" t="str">
        <f>IF(AND( 'Val-Dép'!H43="Bq post", 'Val-Dép'!I41&lt;&gt;"note de crédit"),VLOOKUP('Val-Dép'!H43,'Val-Dép'!H41:AM41,21,FALSE ),"0")</f>
        <v>0</v>
      </c>
      <c r="Y143" s="1315" t="str">
        <f>IF(('Val-Dép'!H43="Marchandise"),VLOOKUP('Val-Dép'!H43,'Val-Dép'!H41:AB41,18,FALSE),"")</f>
        <v/>
      </c>
      <c r="Z143" s="1081"/>
      <c r="AA143" s="1081"/>
      <c r="AB143" s="1312" t="str">
        <f>IF(AND( 'Val-Dép'!AL41=570, 'Val-Dép'!I41&lt;&gt;"note de crédit"),VLOOKUP('Val-Dép'!AL41,'Val-Dép'!AL41:AM41,2,FALSE ),"0")</f>
        <v>0</v>
      </c>
      <c r="AC143" s="1313" t="str">
        <f>IF(AND( 'Val-Dép'!H43="Caisse", 'Val-Dép'!I41&lt;&gt;"note de crédit"),VLOOKUP('Val-Dép'!H43,'Val-Dép'!H41:AM41,21,FALSE ),"0")</f>
        <v>0</v>
      </c>
      <c r="AD143" s="2706"/>
      <c r="AE143" s="1280"/>
    </row>
    <row r="144" spans="2:31" ht="14.1" customHeight="1" x14ac:dyDescent="0.3">
      <c r="B144" s="1320" t="s">
        <v>360</v>
      </c>
      <c r="C144" s="1227" t="str">
        <f>IF(AND( 'Val-Dép'!AE19=550, 'Val-Dép'!I19&lt;&gt;"note de crédit"),VLOOKUP('Val-Dép'!AE19,'Val-Dép'!AE19:AF19,2,FALSE ),"0")</f>
        <v>0</v>
      </c>
      <c r="D144" s="1227" t="str">
        <f>IF(AND( 'Val-Dép'!H43="Banque", 'Val-Dép'!I41&lt;&gt;"note de crédit"),VLOOKUP('Val-Dép'!AH41,'Val-Dép'!AH41:AM41,6,FALSE ),"0")</f>
        <v>0</v>
      </c>
      <c r="E144" s="1322"/>
      <c r="G144" s="1081"/>
      <c r="H144" s="1309" t="str">
        <f>IF(AND( 'Val-Dép'!H19="Bq post", 'Val-Dép'!I19&lt;&gt;"note de crédit"),VLOOKUP('Val-Dép'!AA19,'Val-Dép'!AA19:AF19,6,FALSE ),"0")</f>
        <v>0</v>
      </c>
      <c r="I144" s="2715" t="str">
        <f>IF(AND( 'Val-Dép'!H43="Bq post", 'Val-Dép'!I41&lt;&gt;"note de crédit"),VLOOKUP('Val-Dép'!AH41,'Val-Dép'!AH41:AM41,6,FALSE ),"0")</f>
        <v>0</v>
      </c>
      <c r="J144" s="1225"/>
      <c r="K144" s="1081"/>
      <c r="M144" s="1309" t="str">
        <f>IF(AND( 'Val-Dép'!H19="Caisse", 'Val-Dép'!I19&lt;&gt;"note de crédit"),VLOOKUP('Val-Dép'!AA19,'Val-Dép'!AA19:AF19,6,FALSE ),"0")</f>
        <v>0</v>
      </c>
      <c r="N144" s="1223" t="str">
        <f>IF(AND( 'Val-Dép'!H43="Caisse", 'Val-Dép'!I41&lt;&gt;"note de crédit"),VLOOKUP('Val-Dép'!AH41,'Val-Dép'!AH41:AM41,6,FALSE ),"0")</f>
        <v>0</v>
      </c>
      <c r="O144" s="1348"/>
      <c r="P144" s="1311" t="str">
        <f>IF(( 'Val-Dép'!I42&lt;&gt;"note de crédit" ),"0",VLOOKUP('Val-Dép'!I42,'Val-Dép'!I42:AL42,21,FALSE ))</f>
        <v>0</v>
      </c>
      <c r="Q144" s="2230" t="str">
        <f>IF(AND( 'Val-Dép'!AL42=550, 'Val-Dép'!I42&lt;&gt;"note de crédit"),VLOOKUP('Val-Dép'!AL42,'Val-Dép'!AL42:AM42,2,FALSE ),"0")</f>
        <v>0</v>
      </c>
      <c r="R144" s="2229" t="str">
        <f>IF(AND( 'Val-Dép'!H44="Banque", 'Val-Dép'!I42&lt;&gt;"note de crédit"),VLOOKUP('Val-Dép'!H44,'Val-Dép'!H42:AM42,21,FALSE ),"0")</f>
        <v>0</v>
      </c>
      <c r="S144" s="1314">
        <v>42</v>
      </c>
      <c r="T144" s="1081"/>
      <c r="U144" s="1168"/>
      <c r="V144" s="1314">
        <v>42</v>
      </c>
      <c r="W144" s="1312" t="str">
        <f>IF(AND( 'Val-Dép'!AL42=560, 'Val-Dép'!I42&lt;&gt;"note de crédit"),VLOOKUP('Val-Dép'!AL42,'Val-Dép'!AL42:AM42,2,FALSE ),"0")</f>
        <v>0</v>
      </c>
      <c r="X144" s="1313" t="str">
        <f>IF(AND( 'Val-Dép'!H44="Bq post", 'Val-Dép'!I42&lt;&gt;"note de crédit"),VLOOKUP('Val-Dép'!H44,'Val-Dép'!H42:AM42,21,FALSE ),"0")</f>
        <v>0</v>
      </c>
      <c r="Y144" s="1315" t="str">
        <f>IF(('Val-Dép'!H44="Marchandise"),VLOOKUP('Val-Dép'!H44,'Val-Dép'!H42:AB42,18,FALSE),"")</f>
        <v/>
      </c>
      <c r="Z144" s="1081"/>
      <c r="AA144" s="1081"/>
      <c r="AB144" s="1312" t="str">
        <f>IF(AND( 'Val-Dép'!AL42=570, 'Val-Dép'!I42&lt;&gt;"note de crédit"),VLOOKUP('Val-Dép'!AL42,'Val-Dép'!AL42:AM42,2,FALSE ),"0")</f>
        <v>0</v>
      </c>
      <c r="AC144" s="1313" t="str">
        <f>IF(AND( 'Val-Dép'!H44="Caisse", 'Val-Dép'!I42&lt;&gt;"note de crédit"),VLOOKUP('Val-Dép'!H44,'Val-Dép'!H42:AM42,21,FALSE ),"0")</f>
        <v>0</v>
      </c>
      <c r="AD144" s="2706"/>
      <c r="AE144" s="1280"/>
    </row>
    <row r="145" spans="2:35" ht="14.1" customHeight="1" thickBot="1" x14ac:dyDescent="0.35">
      <c r="B145" s="1320" t="s">
        <v>361</v>
      </c>
      <c r="C145" s="1227" t="str">
        <f>IF(AND( 'Val-Dép'!AE20=550, 'Val-Dép'!I20&lt;&gt;"note de crédit"),VLOOKUP('Val-Dép'!AE20,'Val-Dép'!AE20:AF20,2,FALSE ),"0")</f>
        <v>0</v>
      </c>
      <c r="D145" s="1227" t="str">
        <f>IF(AND( 'Val-Dép'!H44="Banque", 'Val-Dép'!I42&lt;&gt;"note de crédit"),VLOOKUP('Val-Dép'!AH42,'Val-Dép'!AH42:AM42,6,FALSE ),"0")</f>
        <v>0</v>
      </c>
      <c r="E145" s="1261"/>
      <c r="F145" s="1168"/>
      <c r="G145" s="1261"/>
      <c r="H145" s="1309" t="str">
        <f>IF(AND( 'Val-Dép'!H20="Bq post", 'Val-Dép'!I20&lt;&gt;"note de crédit"),VLOOKUP('Val-Dép'!AA20,'Val-Dép'!AA20:AF20,6,FALSE ),"0")</f>
        <v>0</v>
      </c>
      <c r="I145" s="2715" t="str">
        <f>IF(AND( 'Val-Dép'!H44="Bq post", 'Val-Dép'!I42&lt;&gt;"note de crédit"),VLOOKUP('Val-Dép'!AH42,'Val-Dép'!AH42:AM42,6,FALSE ),"0")</f>
        <v>0</v>
      </c>
      <c r="J145" s="1225"/>
      <c r="K145" s="1081"/>
      <c r="M145" s="1309" t="str">
        <f>IF(AND( 'Val-Dép'!H20="Caisse", 'Val-Dép'!I20&lt;&gt;"note de crédit"),VLOOKUP('Val-Dép'!AA20,'Val-Dép'!AA20:AF20,6,FALSE ),"0")</f>
        <v>0</v>
      </c>
      <c r="N145" s="1223" t="str">
        <f>IF(AND( 'Val-Dép'!H44="Caisse", 'Val-Dép'!I42&lt;&gt;"note de crédit"),VLOOKUP('Val-Dép'!AH42,'Val-Dép'!AH42:AM42,6,FALSE ),"0")</f>
        <v>0</v>
      </c>
      <c r="O145" s="1348"/>
      <c r="P145" s="1311" t="str">
        <f>IF(( 'Val-Dép'!I43&lt;&gt;"note de crédit" ),"0",VLOOKUP('Val-Dép'!I43,'Val-Dép'!I43:AL43,21,FALSE ))</f>
        <v>0</v>
      </c>
      <c r="Q145" s="2230" t="str">
        <f>IF(AND( 'Val-Dép'!AL43=550, 'Val-Dép'!I43&lt;&gt;"note de crédit"),VLOOKUP('Val-Dép'!AL43,'Val-Dép'!AL43:AM43,2,FALSE ),"0")</f>
        <v>0</v>
      </c>
      <c r="R145" s="2229" t="str">
        <f>IF(AND( 'Val-Dép'!H45="Banque", 'Val-Dép'!I43&lt;&gt;"note de crédit"),VLOOKUP('Val-Dép'!H45,'Val-Dép'!H43:AM43,21,FALSE ),"0")</f>
        <v>0</v>
      </c>
      <c r="S145" s="1314">
        <v>43</v>
      </c>
      <c r="T145" s="1081"/>
      <c r="U145" s="1168"/>
      <c r="V145" s="1314">
        <v>43</v>
      </c>
      <c r="W145" s="1312" t="str">
        <f>IF(AND( 'Val-Dép'!AL43=560, 'Val-Dép'!I43&lt;&gt;"note de crédit"),VLOOKUP('Val-Dép'!AL43,'Val-Dép'!AL43:AM43,2,FALSE ),"0")</f>
        <v>0</v>
      </c>
      <c r="X145" s="1313" t="str">
        <f>IF(AND( 'Val-Dép'!H45="Bq post", 'Val-Dép'!I43&lt;&gt;"note de crédit"),VLOOKUP('Val-Dép'!H45,'Val-Dép'!H43:AM43,21,FALSE ),"0")</f>
        <v>0</v>
      </c>
      <c r="Y145" s="1315" t="str">
        <f>IF(('Val-Dép'!H45="Marchandise"),VLOOKUP('Val-Dép'!H45,'Val-Dép'!H43:AB43,18,FALSE),"")</f>
        <v/>
      </c>
      <c r="Z145" s="1081"/>
      <c r="AA145" s="1081"/>
      <c r="AB145" s="1312" t="str">
        <f>IF(AND( 'Val-Dép'!AL43=570, 'Val-Dép'!I43&lt;&gt;"note de crédit"),VLOOKUP('Val-Dép'!AL43,'Val-Dép'!AL43:AM43,2,FALSE ),"0")</f>
        <v>0</v>
      </c>
      <c r="AC145" s="1313" t="str">
        <f>IF(AND( 'Val-Dép'!H45="Caisse", 'Val-Dép'!I43&lt;&gt;"note de crédit"),VLOOKUP('Val-Dép'!H45,'Val-Dép'!H43:AM43,21,FALSE ),"0")</f>
        <v>0</v>
      </c>
      <c r="AD145" s="2706"/>
      <c r="AE145" s="1280"/>
    </row>
    <row r="146" spans="2:35" ht="14.1" customHeight="1" x14ac:dyDescent="0.6">
      <c r="B146" s="1320" t="s">
        <v>362</v>
      </c>
      <c r="C146" s="1227" t="str">
        <f>IF(AND( 'Val-Dép'!AE21=550, 'Val-Dép'!I21&lt;&gt;"note de crédit"),VLOOKUP('Val-Dép'!AE21,'Val-Dép'!AE21:AF21,2,FALSE ),"0")</f>
        <v>0</v>
      </c>
      <c r="D146" s="1227" t="str">
        <f>IF(AND( 'Val-Dép'!H45="Banque", 'Val-Dép'!I43&lt;&gt;"note de crédit"),VLOOKUP('Val-Dép'!AH43,'Val-Dép'!AH43:AM43,6,FALSE ),"0")</f>
        <v>0</v>
      </c>
      <c r="E146" s="1081"/>
      <c r="F146" s="1168"/>
      <c r="G146" s="1081"/>
      <c r="H146" s="1309" t="str">
        <f>IF(AND( 'Val-Dép'!H21="Bq post", 'Val-Dép'!I21&lt;&gt;"note de crédit"),VLOOKUP('Val-Dép'!AA21,'Val-Dép'!AA21:AF21,6,FALSE ),"0")</f>
        <v>0</v>
      </c>
      <c r="I146" s="2715" t="str">
        <f>IF(AND( 'Val-Dép'!H45="Bq post", 'Val-Dép'!I43&lt;&gt;"note de crédit"),VLOOKUP('Val-Dép'!AH43,'Val-Dép'!AH43:AM43,6,FALSE ),"0")</f>
        <v>0</v>
      </c>
      <c r="J146" s="1225"/>
      <c r="K146" s="1247"/>
      <c r="M146" s="1309" t="str">
        <f>IF(AND( 'Val-Dép'!H21="Caisse", 'Val-Dép'!I21&lt;&gt;"note de crédit"),VLOOKUP('Val-Dép'!AA21,'Val-Dép'!AA21:AF21,6,FALSE ),"0")</f>
        <v>0</v>
      </c>
      <c r="N146" s="1223" t="str">
        <f>IF(AND( 'Val-Dép'!H45="Caisse", 'Val-Dép'!I43&lt;&gt;"note de crédit"),VLOOKUP('Val-Dép'!AH43,'Val-Dép'!AH43:AM43,6,FALSE ),"0")</f>
        <v>0</v>
      </c>
      <c r="O146" s="1348"/>
      <c r="P146" s="1311" t="str">
        <f>IF(( 'Val-Dép'!I44&lt;&gt;"note de crédit" ),"0",VLOOKUP('Val-Dép'!I44,'Val-Dép'!I44:AL44,21,FALSE ))</f>
        <v>0</v>
      </c>
      <c r="Q146" s="2230" t="str">
        <f>IF(AND( 'Val-Dép'!AL44=550, 'Val-Dép'!I44&lt;&gt;"note de crédit"),VLOOKUP('Val-Dép'!AL44,'Val-Dép'!AL44:AM44,2,FALSE ),"0")</f>
        <v>0</v>
      </c>
      <c r="R146" s="2229" t="str">
        <f>IF(AND( 'Val-Dép'!H46="Banque", 'Val-Dép'!I44&lt;&gt;"note de crédit"),VLOOKUP('Val-Dép'!H46,'Val-Dép'!H44:AM44,21,FALSE ),"0")</f>
        <v>0</v>
      </c>
      <c r="S146" s="1314"/>
      <c r="T146" s="1081"/>
      <c r="U146" s="1168"/>
      <c r="V146" s="1314">
        <v>44</v>
      </c>
      <c r="W146" s="1312" t="str">
        <f>IF(AND( 'Val-Dép'!AL44=560, 'Val-Dép'!I44&lt;&gt;"note de crédit"),VLOOKUP('Val-Dép'!AL44,'Val-Dép'!AL44:AM44,2,FALSE ),"0")</f>
        <v>0</v>
      </c>
      <c r="X146" s="1313" t="str">
        <f>IF(AND( 'Val-Dép'!H46="Bq post", 'Val-Dép'!I44&lt;&gt;"note de crédit"),VLOOKUP('Val-Dép'!H46,'Val-Dép'!H44:AM44,21,FALSE ),"0")</f>
        <v>0</v>
      </c>
      <c r="Y146" s="1315" t="str">
        <f>IF(('Val-Dép'!H46="Marchandise"),VLOOKUP('Val-Dép'!H46,'Val-Dép'!H44:AB44,18,FALSE),"")</f>
        <v/>
      </c>
      <c r="Z146" s="1081"/>
      <c r="AA146" s="1081"/>
      <c r="AB146" s="1312" t="str">
        <f>IF(AND( 'Val-Dép'!AL44=570, 'Val-Dép'!I44&lt;&gt;"note de crédit"),VLOOKUP('Val-Dép'!AL44,'Val-Dép'!AL44:AM44,2,FALSE ),"0")</f>
        <v>0</v>
      </c>
      <c r="AC146" s="1313" t="str">
        <f>IF(AND( 'Val-Dép'!H46="Caisse", 'Val-Dép'!I44&lt;&gt;"note de crédit"),VLOOKUP('Val-Dép'!H46,'Val-Dép'!H44:AM44,21,FALSE ),"0")</f>
        <v>0</v>
      </c>
      <c r="AD146" s="2706"/>
      <c r="AE146" s="1280"/>
    </row>
    <row r="147" spans="2:35" ht="14.1" customHeight="1" thickBot="1" x14ac:dyDescent="0.35">
      <c r="B147" s="1320" t="s">
        <v>55</v>
      </c>
      <c r="C147" s="1227" t="str">
        <f>IF(AND( 'Val-Dép'!AE22=550, 'Val-Dép'!I22&lt;&gt;"note de crédit"),VLOOKUP('Val-Dép'!AE22,'Val-Dép'!AE22:AF22,2,FALSE ),"0")</f>
        <v>0</v>
      </c>
      <c r="D147" s="1227" t="str">
        <f>IF(AND( 'Val-Dép'!H46="Banque", 'Val-Dép'!I44&lt;&gt;"note de crédit"),VLOOKUP('Val-Dép'!AH44,'Val-Dép'!AH44:AM44,6,FALSE ),"0")</f>
        <v>0</v>
      </c>
      <c r="E147" s="1081"/>
      <c r="F147" s="1168"/>
      <c r="G147" s="1081"/>
      <c r="H147" s="1309" t="str">
        <f>IF(AND( 'Val-Dép'!H22="Bq post", 'Val-Dép'!I22&lt;&gt;"note de crédit"),VLOOKUP('Val-Dép'!AA22,'Val-Dép'!AA22:AF22,6,FALSE ),"0")</f>
        <v>0</v>
      </c>
      <c r="I147" s="2715" t="str">
        <f>IF(AND( 'Val-Dép'!H46="Bq post", 'Val-Dép'!I44&lt;&gt;"note de crédit"),VLOOKUP('Val-Dép'!AH44,'Val-Dép'!AH44:AM44,6,FALSE ),"0")</f>
        <v>0</v>
      </c>
      <c r="J147" s="1225"/>
      <c r="K147" s="1249"/>
      <c r="M147" s="1309" t="str">
        <f>IF(AND( 'Val-Dép'!H22="Caisse", 'Val-Dép'!I22&lt;&gt;"note de crédit"),VLOOKUP('Val-Dép'!AA22,'Val-Dép'!AA22:AF22,6,FALSE ),"0")</f>
        <v>0</v>
      </c>
      <c r="N147" s="1223" t="str">
        <f>IF(AND( 'Val-Dép'!H46="Caisse", 'Val-Dép'!I44&lt;&gt;"note de crédit"),VLOOKUP('Val-Dép'!AH44,'Val-Dép'!AH44:AM44,6,FALSE ),"0")</f>
        <v>0</v>
      </c>
      <c r="O147" s="1348"/>
      <c r="P147" s="1311" t="str">
        <f>IF(( 'Val-Dép'!I45&lt;&gt;"note de crédit" ),"0",VLOOKUP('Val-Dép'!I45,'Val-Dép'!I45:AL45,21,FALSE ))</f>
        <v>0</v>
      </c>
      <c r="Q147" s="2230" t="str">
        <f>IF(AND( 'Val-Dép'!AL45=550, 'Val-Dép'!I45&lt;&gt;"note de crédit"),VLOOKUP('Val-Dép'!AL45,'Val-Dép'!AL45:AM45,2,FALSE ),"0")</f>
        <v>0</v>
      </c>
      <c r="R147" s="2229" t="str">
        <f>IF(AND( 'Val-Dép'!H47="Banque", 'Val-Dép'!I45&lt;&gt;"note de crédit"),VLOOKUP('Val-Dép'!H47,'Val-Dép'!H45:AM45,21,FALSE ),"0")</f>
        <v>0</v>
      </c>
      <c r="S147" s="1327"/>
      <c r="T147" s="1081"/>
      <c r="U147" s="1168"/>
      <c r="V147" s="1314"/>
      <c r="W147" s="1312" t="str">
        <f>IF(AND( 'Val-Dép'!AL45=560, 'Val-Dép'!I45&lt;&gt;"note de crédit"),VLOOKUP('Val-Dép'!AL45,'Val-Dép'!AL45:AM45,2,FALSE ),"0")</f>
        <v>0</v>
      </c>
      <c r="X147" s="1313" t="str">
        <f>IF(AND( 'Val-Dép'!H47="Bq post", 'Val-Dép'!I45&lt;&gt;"note de crédit"),VLOOKUP('Val-Dép'!H47,'Val-Dép'!H45:AM45,21,FALSE ),"0")</f>
        <v>0</v>
      </c>
      <c r="Y147" s="1315" t="str">
        <f>IF(('Val-Dép'!H47="Marchandise"),VLOOKUP('Val-Dép'!H47,'Val-Dép'!H45:AB45,18,FALSE),"")</f>
        <v/>
      </c>
      <c r="Z147" s="1081"/>
      <c r="AA147" s="1081"/>
      <c r="AB147" s="1312" t="str">
        <f>IF(AND( 'Val-Dép'!AL45=570, 'Val-Dép'!I45&lt;&gt;"note de crédit"),VLOOKUP('Val-Dép'!AL45,'Val-Dép'!AL45:AM45,2,FALSE ),"0")</f>
        <v>0</v>
      </c>
      <c r="AC147" s="1313" t="str">
        <f>IF(AND( 'Val-Dép'!H47="Caisse", 'Val-Dép'!I45&lt;&gt;"note de crédit"),VLOOKUP('Val-Dép'!H47,'Val-Dép'!H45:AM45,21,FALSE ),"0")</f>
        <v>0</v>
      </c>
      <c r="AD147" s="2706"/>
      <c r="AE147" s="1280"/>
    </row>
    <row r="148" spans="2:35" ht="14.1" customHeight="1" thickBot="1" x14ac:dyDescent="0.3">
      <c r="B148" s="1324" t="s">
        <v>58</v>
      </c>
      <c r="C148" s="1325" t="str">
        <f>IF(AND( 'Val-Dép'!AE23=550, 'Val-Dép'!I23&lt;&gt;"note de crédit"),VLOOKUP('Val-Dép'!AE23,'Val-Dép'!AE23:AF23,2,FALSE ),"0")</f>
        <v>0</v>
      </c>
      <c r="D148" s="1325" t="str">
        <f>IF(AND( 'Val-Dép'!H47="Banque", 'Val-Dép'!I45&lt;&gt;"note de crédit"),VLOOKUP('Val-Dép'!AH45,'Val-Dép'!AH45:AM45,6,FALSE ),"0")</f>
        <v>0</v>
      </c>
      <c r="E148" s="1081"/>
      <c r="F148" s="1168"/>
      <c r="G148" s="1081"/>
      <c r="H148" s="1326" t="str">
        <f>IF(AND( 'Val-Dép'!H23="Bq post", 'Val-Dép'!I23&lt;&gt;"note de crédit"),VLOOKUP('Val-Dép'!AA23,'Val-Dép'!AA23:AF23,6,FALSE ),"0")</f>
        <v>0</v>
      </c>
      <c r="I148" s="2725" t="str">
        <f>IF(AND( 'Val-Dép'!H47="Bq post", 'Val-Dép'!I45&lt;&gt;"note de crédit"),VLOOKUP('Val-Dép'!AH45,'Val-Dép'!AH45:AM45,6,FALSE ),"0")</f>
        <v>0</v>
      </c>
      <c r="J148" s="1225"/>
      <c r="M148" s="1326" t="str">
        <f>IF(AND( 'Val-Dép'!H23="Caisse", 'Val-Dép'!I23&lt;&gt;"note de crédit"),VLOOKUP('Val-Dép'!AA23,'Val-Dép'!AA23:AF23,6,FALSE ),"0")</f>
        <v>0</v>
      </c>
      <c r="N148" s="1325" t="str">
        <f>IF(AND( 'Val-Dép'!H47="Caisse", 'Val-Dép'!I45&lt;&gt;"note de crédit"),VLOOKUP('Val-Dép'!AH45,'Val-Dép'!AH45:AM45,6,FALSE ),"0")</f>
        <v>0</v>
      </c>
      <c r="O148" s="1148"/>
      <c r="Q148" s="1334">
        <f>SUM(Q137:Q147)</f>
        <v>0</v>
      </c>
      <c r="R148" s="1335">
        <f>SUM(R136:R147)</f>
        <v>0</v>
      </c>
      <c r="S148" s="1327"/>
      <c r="T148" s="1081"/>
      <c r="U148" s="1126"/>
      <c r="V148" s="1336"/>
      <c r="W148" s="1337">
        <f>SUM(W137:W147)</f>
        <v>0</v>
      </c>
      <c r="X148" s="1338">
        <f>SUM(X137:X147)</f>
        <v>0</v>
      </c>
      <c r="Y148" s="1339">
        <f>SUM(Y136:Y147)</f>
        <v>0</v>
      </c>
      <c r="Z148" s="1258"/>
      <c r="AA148" s="1081"/>
      <c r="AB148" s="1340">
        <f>SUM(AB137:AB147)</f>
        <v>0</v>
      </c>
      <c r="AC148" s="1341">
        <f>SUM(AC137:AC147)</f>
        <v>0</v>
      </c>
      <c r="AD148" s="1081">
        <f>SUM(AD136:AD147)</f>
        <v>0</v>
      </c>
      <c r="AE148" s="1280"/>
    </row>
    <row r="149" spans="2:35" ht="15" customHeight="1" thickBot="1" x14ac:dyDescent="0.3">
      <c r="B149" s="1328"/>
      <c r="C149" s="1329" t="e">
        <f>IF('Val-Dép'!#REF!="","",'Val-Dép'!#REF!)</f>
        <v>#REF!</v>
      </c>
      <c r="D149" s="1329" t="str">
        <f>IF('Val-Dép'!D58="","",'Val-Dép'!D58)</f>
        <v>crédit-1an</v>
      </c>
      <c r="E149" s="1330"/>
      <c r="F149" s="1168"/>
      <c r="G149" s="1331"/>
      <c r="H149" s="1332"/>
      <c r="I149" s="2726"/>
      <c r="J149" s="1333"/>
      <c r="L149" s="1331"/>
      <c r="M149" s="1332"/>
      <c r="N149" s="1332"/>
      <c r="O149" s="1347"/>
      <c r="P149" s="1348"/>
      <c r="Q149" s="1349">
        <f t="shared" ref="Q149:R149" si="1">W148</f>
        <v>0</v>
      </c>
      <c r="R149" s="1350">
        <f t="shared" si="1"/>
        <v>0</v>
      </c>
      <c r="S149" s="1351"/>
      <c r="T149" s="1081"/>
      <c r="U149" s="1126"/>
      <c r="V149" s="1336"/>
      <c r="W149" s="1258"/>
      <c r="X149" s="1352"/>
      <c r="Y149" s="1339"/>
      <c r="Z149" s="1258"/>
      <c r="AA149" s="1258"/>
      <c r="AB149" s="1258"/>
      <c r="AC149" s="1081"/>
      <c r="AD149" s="1081"/>
      <c r="AE149" s="1280"/>
    </row>
    <row r="150" spans="2:35" ht="22.5" customHeight="1" thickBot="1" x14ac:dyDescent="0.3">
      <c r="B150" s="1342"/>
      <c r="C150" s="1343" t="e">
        <f>IF('Val-Dép'!#REF!="","",'Val-Dép'!#REF!)</f>
        <v>#REF!</v>
      </c>
      <c r="D150" s="1343" t="str">
        <f>IF('Val-Dép'!D59="","",'Val-Dép'!D59)</f>
        <v>crédit-1an</v>
      </c>
      <c r="E150" s="1344"/>
      <c r="F150" s="1168"/>
      <c r="G150" s="1345"/>
      <c r="H150" s="1346" t="str">
        <f>IF('Val-Dép'!G59="","",'Val-Dép'!G59)</f>
        <v>crédit+1an</v>
      </c>
      <c r="I150" s="2727" t="str">
        <f>IF('Val-Dép'!H59="","",'Val-Dép'!H59)</f>
        <v>173</v>
      </c>
      <c r="J150" s="1347"/>
      <c r="K150" s="1250"/>
      <c r="L150" s="1354"/>
      <c r="M150" s="1346" t="e">
        <f>IF('Val-Dép'!#REF!="","",'Val-Dép'!#REF!)</f>
        <v>#REF!</v>
      </c>
      <c r="N150" s="1346" t="e">
        <f>IF('Val-Dép'!#REF!="","",'Val-Dép'!#REF!)</f>
        <v>#REF!</v>
      </c>
      <c r="O150" s="1347"/>
      <c r="Q150" s="1355">
        <f>AB148</f>
        <v>0</v>
      </c>
      <c r="R150" s="1245">
        <f>AC148</f>
        <v>0</v>
      </c>
      <c r="S150" s="1081"/>
      <c r="T150" s="1081"/>
      <c r="U150" s="1081"/>
      <c r="V150" s="1081"/>
      <c r="W150" s="1081"/>
      <c r="X150" s="1081"/>
      <c r="Y150" s="1081"/>
      <c r="Z150" s="1081"/>
      <c r="AA150" s="1081"/>
      <c r="AB150" s="1081"/>
      <c r="AC150" s="1081"/>
      <c r="AD150" s="1081"/>
      <c r="AE150" s="1280"/>
    </row>
    <row r="151" spans="2:35" ht="21" customHeight="1" thickTop="1" thickBot="1" x14ac:dyDescent="0.3">
      <c r="B151" s="1342"/>
      <c r="C151" s="1343" t="e">
        <f>IF('Val-Dép'!#REF!="","",'Val-Dép'!#REF!)</f>
        <v>#REF!</v>
      </c>
      <c r="D151" s="1343" t="str">
        <f>IF('Val-Dép'!D60="","",'Val-Dép'!D60)</f>
        <v>crédit-1an</v>
      </c>
      <c r="E151" s="1353"/>
      <c r="F151" s="1168"/>
      <c r="G151" s="1354"/>
      <c r="H151" s="1346" t="str">
        <f>IF('Val-Dép'!G60="","",'Val-Dép'!G60)</f>
        <v>crédit+1an</v>
      </c>
      <c r="I151" s="2727" t="str">
        <f>IF('Val-Dép'!H60="","",'Val-Dép'!H60)</f>
        <v>173</v>
      </c>
      <c r="J151" s="1347"/>
      <c r="K151" s="1253"/>
      <c r="L151" s="1354"/>
      <c r="M151" s="1346" t="e">
        <f>IF('Val-Dép'!#REF!="","",'Val-Dép'!#REF!)</f>
        <v>#REF!</v>
      </c>
      <c r="N151" s="1346" t="e">
        <f>IF('Val-Dép'!#REF!="","",'Val-Dép'!#REF!)</f>
        <v>#REF!</v>
      </c>
      <c r="O151" s="1347"/>
      <c r="P151" s="1357" t="s">
        <v>1942</v>
      </c>
      <c r="Q151" s="1358">
        <f>SUM(Q148:Q150)</f>
        <v>0</v>
      </c>
      <c r="R151" s="1350">
        <f>SUM(R148:R150)</f>
        <v>0</v>
      </c>
      <c r="S151" s="4218" t="s">
        <v>1691</v>
      </c>
      <c r="T151" s="4218"/>
      <c r="U151" s="4218"/>
      <c r="V151" s="4218"/>
      <c r="W151" s="4218"/>
      <c r="X151" s="4218"/>
      <c r="Y151" s="4218"/>
      <c r="Z151" s="4218"/>
      <c r="AA151" s="4218"/>
      <c r="AB151" s="1359"/>
      <c r="AC151" s="1360">
        <f>R151-Q151</f>
        <v>0</v>
      </c>
      <c r="AD151" s="1361" t="s">
        <v>189</v>
      </c>
      <c r="AE151" s="1362"/>
      <c r="AF151" s="1359"/>
      <c r="AG151" s="1359"/>
    </row>
    <row r="152" spans="2:35" ht="14.1" customHeight="1" thickBot="1" x14ac:dyDescent="0.3">
      <c r="B152" s="1342"/>
      <c r="C152" s="1343" t="e">
        <f>IF('Val-Dép'!#REF!="","",'Val-Dép'!#REF!)</f>
        <v>#REF!</v>
      </c>
      <c r="D152" s="1343" t="str">
        <f>IF('Val-Dép'!D61="","",'Val-Dép'!D61)</f>
        <v>crédit-1an</v>
      </c>
      <c r="E152" s="1353"/>
      <c r="F152" s="1168"/>
      <c r="G152" s="1354"/>
      <c r="H152" s="1346" t="e">
        <f>IF('Val-Dép'!#REF!="","",'Val-Dép'!#REF!)</f>
        <v>#REF!</v>
      </c>
      <c r="I152" s="2727" t="str">
        <f>IF('Val-Dép'!H61="","",'Val-Dép'!H61)</f>
        <v>173</v>
      </c>
      <c r="J152" s="1347"/>
      <c r="L152" s="1354"/>
      <c r="M152" s="1346" t="e">
        <f>IF('Val-Dép'!#REF!="","",'Val-Dép'!#REF!)</f>
        <v>#REF!</v>
      </c>
      <c r="N152" s="1346" t="e">
        <f>IF('Val-Dép'!#REF!="","",'Val-Dép'!#REF!)</f>
        <v>#REF!</v>
      </c>
      <c r="O152" s="1347"/>
      <c r="P152" s="1365">
        <f>D111-Q148</f>
        <v>0</v>
      </c>
      <c r="Q152" s="1366"/>
      <c r="R152" s="1367"/>
      <c r="S152" s="1368"/>
      <c r="T152" s="1369"/>
      <c r="U152" s="1370"/>
      <c r="V152" s="1371"/>
      <c r="W152" s="1372"/>
      <c r="X152" s="1373"/>
      <c r="Y152" s="1374"/>
      <c r="Z152" s="1372"/>
      <c r="AA152" s="1372"/>
      <c r="AB152" s="1372"/>
      <c r="AC152" s="1369"/>
      <c r="AD152" s="1369"/>
      <c r="AE152" s="1375"/>
    </row>
    <row r="153" spans="2:35" ht="14.1" customHeight="1" thickTop="1" x14ac:dyDescent="0.25">
      <c r="B153" s="1342"/>
      <c r="C153" s="1363" t="e">
        <f>IF('Val-Dép'!#REF!="","",'Val-Dép'!#REF!)</f>
        <v>#REF!</v>
      </c>
      <c r="D153" s="1363" t="str">
        <f>IF('Val-Dép'!D62="","",'Val-Dép'!D62)</f>
        <v>Emprunt Bq-1an</v>
      </c>
      <c r="E153" s="1353"/>
      <c r="F153" s="1168"/>
      <c r="G153" s="1354"/>
      <c r="H153" s="1364" t="str">
        <f>IF('Val-Dép'!G62="","",'Val-Dép'!G62)</f>
        <v>crédit+1an</v>
      </c>
      <c r="I153" s="2728" t="str">
        <f>IF('Val-Dép'!H62="","",'Val-Dép'!H62)</f>
        <v>173</v>
      </c>
      <c r="J153" s="1347"/>
      <c r="L153" s="1354"/>
      <c r="M153" s="1364" t="e">
        <f>IF('Val-Dép'!#REF!="","",'Val-Dép'!#REF!)</f>
        <v>#REF!</v>
      </c>
      <c r="N153" s="1364" t="e">
        <f>IF('Val-Dép'!#REF!="","",'Val-Dép'!#REF!)</f>
        <v>#REF!</v>
      </c>
      <c r="O153" s="1447" t="s">
        <v>1678</v>
      </c>
      <c r="P153" s="1381"/>
      <c r="Q153" s="1358"/>
      <c r="R153" s="1350"/>
      <c r="S153" s="1382"/>
      <c r="T153" s="1081"/>
      <c r="U153" s="1126"/>
      <c r="V153" s="1336"/>
      <c r="W153" s="1258"/>
      <c r="X153" s="1352"/>
      <c r="Y153" s="1339"/>
      <c r="Z153" s="1258"/>
      <c r="AA153" s="1258"/>
      <c r="AB153" s="1258"/>
      <c r="AC153" s="1081"/>
      <c r="AD153" s="1081"/>
      <c r="AE153" s="1081"/>
    </row>
    <row r="154" spans="2:35" ht="19.5" customHeight="1" thickBot="1" x14ac:dyDescent="0.3">
      <c r="B154" s="1376" t="s">
        <v>1677</v>
      </c>
      <c r="C154" s="1377" t="s">
        <v>1661</v>
      </c>
      <c r="D154" s="1378" t="s">
        <v>1660</v>
      </c>
      <c r="E154" s="1379" t="s">
        <v>1678</v>
      </c>
      <c r="F154" s="1168"/>
      <c r="G154" s="1380" t="s">
        <v>1677</v>
      </c>
      <c r="H154" s="1377" t="s">
        <v>1667</v>
      </c>
      <c r="I154" s="2729" t="s">
        <v>1665</v>
      </c>
      <c r="J154" s="1347" t="s">
        <v>1678</v>
      </c>
      <c r="L154" s="1380" t="s">
        <v>1677</v>
      </c>
      <c r="M154" s="1377" t="s">
        <v>1680</v>
      </c>
      <c r="N154" s="1378" t="s">
        <v>1666</v>
      </c>
      <c r="O154" s="1448" t="e">
        <f>SUM(N137:N153)</f>
        <v>#REF!</v>
      </c>
      <c r="Q154" s="2629"/>
      <c r="R154" s="1358"/>
      <c r="S154" s="1350"/>
      <c r="T154" s="1382"/>
      <c r="U154" s="1081"/>
      <c r="V154" s="1126"/>
      <c r="W154" s="1336"/>
      <c r="X154" s="1258"/>
      <c r="Y154" s="1352"/>
      <c r="Z154" s="1339"/>
      <c r="AA154" s="1258"/>
      <c r="AB154" s="1258"/>
      <c r="AC154" s="1258"/>
      <c r="AD154" s="1081"/>
      <c r="AE154" s="1081"/>
      <c r="AF154" s="1081"/>
    </row>
    <row r="155" spans="2:35" ht="19.5" customHeight="1" thickBot="1" x14ac:dyDescent="0.3">
      <c r="B155" s="1081" t="s">
        <v>186</v>
      </c>
      <c r="C155" s="1383" t="e">
        <f>SUM(C137:C153)</f>
        <v>#REF!</v>
      </c>
      <c r="D155" s="1384">
        <f>SUM(D138:D153)</f>
        <v>0</v>
      </c>
      <c r="E155" s="1192"/>
      <c r="F155" s="1192"/>
      <c r="G155" s="1192"/>
      <c r="H155" s="1385" t="e">
        <f>SUM(H137:H153)</f>
        <v>#REF!</v>
      </c>
      <c r="I155" s="2730">
        <f>SUM(I137:I153)</f>
        <v>0</v>
      </c>
      <c r="M155" s="1448" t="e">
        <f>SUM(M137:M153)</f>
        <v>#REF!</v>
      </c>
      <c r="N155" s="1448"/>
      <c r="O155" s="4216" t="e">
        <f>M155-O154</f>
        <v>#REF!</v>
      </c>
      <c r="P155" s="4216"/>
      <c r="Q155" s="1458" t="s">
        <v>171</v>
      </c>
      <c r="R155" s="1136"/>
      <c r="S155" s="1386"/>
      <c r="T155" s="1213"/>
      <c r="U155" s="1258"/>
      <c r="V155" s="1126"/>
      <c r="W155" s="1336"/>
      <c r="X155" s="1258"/>
      <c r="Y155" s="1252"/>
      <c r="Z155" s="1339"/>
      <c r="AA155" s="1258"/>
      <c r="AB155" s="1258"/>
      <c r="AC155" s="1258"/>
      <c r="AD155" s="1258"/>
      <c r="AE155" s="1258"/>
      <c r="AF155" s="1258"/>
      <c r="AG155" s="1258"/>
      <c r="AH155" s="1258"/>
      <c r="AI155" s="1252"/>
    </row>
    <row r="156" spans="2:35" ht="14.1" customHeight="1" x14ac:dyDescent="0.25">
      <c r="B156" s="1081"/>
      <c r="C156" s="1256"/>
      <c r="D156" s="1350"/>
      <c r="E156" s="1192"/>
      <c r="F156" s="1192"/>
      <c r="G156" s="1192"/>
      <c r="H156" s="1255"/>
      <c r="M156" s="2633"/>
      <c r="N156" s="2633"/>
      <c r="O156" s="4213" t="e">
        <f>H155-I155</f>
        <v>#REF!</v>
      </c>
      <c r="P156" s="4213"/>
      <c r="Q156" s="1424" t="s">
        <v>1627</v>
      </c>
      <c r="R156" s="1136"/>
      <c r="S156" s="1350"/>
      <c r="T156" s="1169"/>
      <c r="V156" s="1126"/>
      <c r="W156" s="1336"/>
      <c r="X156" s="1258"/>
      <c r="Y156" s="1352"/>
      <c r="Z156" s="1339"/>
      <c r="AA156" s="1258"/>
      <c r="AB156" s="1258"/>
      <c r="AC156" s="1258"/>
    </row>
    <row r="157" spans="2:35" ht="14.1" customHeight="1" x14ac:dyDescent="0.25">
      <c r="B157" s="1081"/>
      <c r="C157" s="1256" t="e">
        <f t="shared" ref="C157:D157" si="2">H155</f>
        <v>#REF!</v>
      </c>
      <c r="D157" s="1350">
        <f t="shared" si="2"/>
        <v>0</v>
      </c>
      <c r="E157" s="1192"/>
      <c r="F157" s="1192"/>
      <c r="G157" s="1192"/>
      <c r="H157" s="1255"/>
      <c r="K157" s="1081"/>
      <c r="M157" s="2633"/>
      <c r="N157" s="2633"/>
      <c r="O157" s="4207" t="e">
        <f>C155-D155</f>
        <v>#REF!</v>
      </c>
      <c r="P157" s="4207"/>
      <c r="Q157" s="1424" t="s">
        <v>169</v>
      </c>
      <c r="R157" s="1136"/>
      <c r="T157" s="1171"/>
      <c r="V157" s="1126"/>
      <c r="W157" s="1258"/>
      <c r="X157" s="1258"/>
      <c r="Y157" s="1258"/>
      <c r="Z157" s="1339"/>
      <c r="AA157" s="1258"/>
      <c r="AB157" s="1258"/>
      <c r="AC157" s="1258"/>
    </row>
    <row r="158" spans="2:35" ht="14.1" customHeight="1" thickBot="1" x14ac:dyDescent="0.3">
      <c r="B158" s="1081"/>
      <c r="C158" s="1256"/>
      <c r="D158" s="1350"/>
      <c r="E158" s="1192"/>
      <c r="F158" s="1192"/>
      <c r="G158" s="1192"/>
      <c r="H158" s="1255"/>
      <c r="K158" s="1081"/>
      <c r="L158" s="1087"/>
      <c r="O158" s="4208" t="e">
        <f>C161-D161</f>
        <v>#REF!</v>
      </c>
      <c r="P158" s="4208"/>
      <c r="Q158" s="1465" t="s">
        <v>309</v>
      </c>
      <c r="R158" s="1136"/>
      <c r="S158" s="1294" t="s">
        <v>1988</v>
      </c>
      <c r="V158" s="1390"/>
      <c r="W158" s="1258"/>
      <c r="X158" s="1080"/>
      <c r="Y158" s="1081"/>
      <c r="Z158" s="1339"/>
      <c r="AA158" s="1258"/>
      <c r="AB158" s="1258"/>
      <c r="AC158" s="1258"/>
    </row>
    <row r="159" spans="2:35" ht="14.1" customHeight="1" thickBot="1" x14ac:dyDescent="0.3">
      <c r="B159" s="1081"/>
      <c r="C159" s="1387" t="e">
        <f>M155</f>
        <v>#REF!</v>
      </c>
      <c r="D159" s="1367" t="e">
        <f>O154</f>
        <v>#REF!</v>
      </c>
      <c r="E159" s="1388"/>
      <c r="F159" s="1388"/>
      <c r="G159" s="1388"/>
      <c r="H159" s="1245"/>
      <c r="I159" s="2731"/>
      <c r="J159" s="1369"/>
      <c r="K159" s="1081"/>
      <c r="L159" s="1255"/>
      <c r="M159" s="1255"/>
      <c r="N159" s="1255"/>
      <c r="P159" s="1255"/>
      <c r="Q159" s="1424"/>
      <c r="R159" s="1136"/>
      <c r="S159" s="1391"/>
      <c r="T159" s="1392"/>
      <c r="V159" s="1258"/>
      <c r="W159" s="1258"/>
      <c r="X159" s="1081"/>
      <c r="Y159" s="1393"/>
      <c r="Z159" s="1394"/>
      <c r="AA159" s="1258"/>
      <c r="AB159" s="1258"/>
      <c r="AC159" s="1258"/>
    </row>
    <row r="160" spans="2:35" ht="14.1" customHeight="1" x14ac:dyDescent="0.25">
      <c r="B160" s="1081"/>
      <c r="C160" s="1256"/>
      <c r="D160" s="1350"/>
      <c r="E160" s="1192"/>
      <c r="F160" s="1192"/>
      <c r="G160" s="1192"/>
      <c r="H160" s="1255"/>
      <c r="K160" s="1081"/>
      <c r="L160" s="1255"/>
      <c r="M160" s="1255"/>
      <c r="N160" s="1255"/>
      <c r="R160" s="1392" t="e">
        <f>SUM(O157,O156,O155)</f>
        <v>#REF!</v>
      </c>
      <c r="S160" s="1100" t="e">
        <f>IF('Val-Dép'!#REF!="","",'Val-Dép'!#REF!)</f>
        <v>#REF!</v>
      </c>
      <c r="T160" s="1136"/>
      <c r="V160" s="1258"/>
      <c r="W160" s="1258"/>
      <c r="X160" s="1081"/>
      <c r="Y160" s="1081"/>
      <c r="Z160" s="1394"/>
      <c r="AA160" s="1258"/>
      <c r="AB160" s="1258"/>
      <c r="AC160" s="1258"/>
    </row>
    <row r="161" spans="2:31" ht="14.1" customHeight="1" thickBot="1" x14ac:dyDescent="0.3">
      <c r="B161" s="1081"/>
      <c r="C161" s="1395" t="e">
        <f>SUM(C155:C159)</f>
        <v>#REF!</v>
      </c>
      <c r="D161" s="1396" t="e">
        <f>SUM(D155:D159)</f>
        <v>#REF!</v>
      </c>
      <c r="E161" s="1192"/>
      <c r="F161" s="1255"/>
      <c r="H161" s="1255"/>
      <c r="I161" s="2732" t="s">
        <v>2076</v>
      </c>
      <c r="J161" s="1397"/>
      <c r="K161" s="1369"/>
      <c r="L161" s="1255"/>
      <c r="M161" s="1255"/>
      <c r="N161" s="1255"/>
      <c r="O161" s="1081"/>
      <c r="P161" s="1168"/>
      <c r="Q161" s="1424"/>
      <c r="R161" s="1136"/>
      <c r="S161" s="1100" t="e">
        <f>IF('Val-Dép'!#REF!="","",'Val-Dép'!#REF!)</f>
        <v>#REF!</v>
      </c>
      <c r="T161" s="1136"/>
      <c r="V161" s="1258"/>
      <c r="W161" s="1258"/>
      <c r="X161" s="1081"/>
      <c r="Y161" s="1081"/>
      <c r="Z161" s="1394"/>
      <c r="AA161" s="1258"/>
      <c r="AB161" s="1258"/>
      <c r="AC161" s="1258"/>
    </row>
    <row r="162" spans="2:31" ht="14.1" customHeight="1" x14ac:dyDescent="0.25">
      <c r="B162" s="1081"/>
      <c r="C162" s="1256"/>
      <c r="D162" s="1350"/>
      <c r="E162" s="1192"/>
      <c r="F162" s="1255"/>
      <c r="G162" s="1399"/>
      <c r="H162" s="1400"/>
      <c r="I162" s="2732"/>
      <c r="J162" s="1397"/>
      <c r="K162" s="1081"/>
      <c r="L162" s="1168"/>
      <c r="M162" s="1168"/>
      <c r="N162" s="1168"/>
      <c r="O162" s="1081"/>
      <c r="P162" s="1081"/>
      <c r="R162" s="1136"/>
      <c r="S162" s="1100" t="e">
        <f>IF('Val-Dép'!#REF!="","",'Val-Dép'!#REF!)</f>
        <v>#REF!</v>
      </c>
      <c r="T162" s="1136"/>
      <c r="V162" s="1258"/>
      <c r="W162" s="1258"/>
      <c r="X162" s="1081"/>
      <c r="Y162" s="1081"/>
      <c r="Z162" s="1394"/>
      <c r="AA162" s="1258"/>
      <c r="AB162" s="1258"/>
      <c r="AC162" s="1258"/>
    </row>
    <row r="163" spans="2:31" ht="14.1" customHeight="1" x14ac:dyDescent="0.25">
      <c r="B163" s="1081"/>
      <c r="C163" s="1256"/>
      <c r="D163" s="1350"/>
      <c r="E163" s="1192"/>
      <c r="F163" s="1255"/>
      <c r="G163" s="1399"/>
      <c r="H163" s="1400"/>
      <c r="I163" s="2733" t="s">
        <v>2077</v>
      </c>
      <c r="J163" s="1401"/>
      <c r="K163" s="2631"/>
      <c r="L163" s="1168"/>
      <c r="M163" s="1168"/>
      <c r="N163" s="1168"/>
      <c r="O163" s="1081"/>
      <c r="P163" s="1168"/>
      <c r="R163" s="1136"/>
      <c r="S163" s="1100" t="e">
        <f>IF('Val-Dép'!#REF!="","",'Val-Dép'!#REF!)</f>
        <v>#REF!</v>
      </c>
      <c r="T163" s="1136"/>
      <c r="V163" s="1258"/>
      <c r="W163" s="1258"/>
      <c r="X163" s="1081"/>
      <c r="Y163" s="1081"/>
      <c r="Z163" s="1394"/>
      <c r="AA163" s="1258"/>
      <c r="AB163" s="1258"/>
      <c r="AC163" s="1258"/>
    </row>
    <row r="164" spans="2:31" ht="14.1" customHeight="1" thickBot="1" x14ac:dyDescent="0.3">
      <c r="B164" s="1081"/>
      <c r="C164" s="1256"/>
      <c r="D164" s="1350"/>
      <c r="E164" s="1192"/>
      <c r="F164" s="1255"/>
      <c r="G164" s="1399"/>
      <c r="H164" s="1400"/>
      <c r="I164" s="2734"/>
      <c r="J164" s="1402"/>
      <c r="K164" s="2631"/>
      <c r="L164" s="2261"/>
      <c r="M164" s="2261"/>
      <c r="N164" s="2261"/>
      <c r="O164" s="1258"/>
      <c r="P164" s="1081"/>
      <c r="R164" s="1136"/>
      <c r="S164" s="1687" t="e">
        <f>IF('Val-Dép'!#REF!="","",'Val-Dép'!#REF!)</f>
        <v>#REF!</v>
      </c>
      <c r="X164" s="1081"/>
      <c r="Y164" s="1393"/>
    </row>
    <row r="165" spans="2:31" ht="14.1" customHeight="1" thickTop="1" x14ac:dyDescent="0.25">
      <c r="B165" s="1081"/>
      <c r="C165" s="1256"/>
      <c r="D165" s="1350"/>
      <c r="E165" s="1192"/>
      <c r="F165" s="1255"/>
      <c r="G165" s="1399"/>
      <c r="H165" s="1400"/>
      <c r="I165" s="2735"/>
      <c r="K165" s="1401"/>
      <c r="L165" s="2261"/>
      <c r="M165" s="2261"/>
      <c r="N165" s="2261"/>
      <c r="O165" s="1081"/>
      <c r="P165" s="1168"/>
    </row>
    <row r="166" spans="2:31" ht="14.1" customHeight="1" x14ac:dyDescent="0.25">
      <c r="K166" s="1402"/>
      <c r="L166" s="2632"/>
      <c r="M166" s="2632"/>
      <c r="N166" s="2632"/>
      <c r="O166" s="2632"/>
      <c r="P166" s="2632"/>
    </row>
    <row r="167" spans="2:31" ht="14.1" customHeight="1" thickBot="1" x14ac:dyDescent="0.3">
      <c r="B167" s="1261" t="s">
        <v>186</v>
      </c>
      <c r="C167" s="1403">
        <v>4119</v>
      </c>
      <c r="D167" s="1404" t="s">
        <v>280</v>
      </c>
      <c r="E167" s="1405" t="s">
        <v>185</v>
      </c>
      <c r="F167" s="1255"/>
      <c r="G167" s="1406" t="s">
        <v>186</v>
      </c>
      <c r="H167" s="1407">
        <v>4117</v>
      </c>
      <c r="I167" s="2736" t="s">
        <v>281</v>
      </c>
      <c r="J167" s="1261" t="s">
        <v>185</v>
      </c>
      <c r="L167" s="2632"/>
      <c r="M167" s="2632"/>
      <c r="N167" s="2632"/>
      <c r="O167" s="2632"/>
      <c r="P167" s="2632"/>
    </row>
    <row r="168" spans="2:31" ht="14.1" customHeight="1" x14ac:dyDescent="0.25">
      <c r="B168" s="1081"/>
      <c r="C168" s="1408"/>
      <c r="D168" s="1409">
        <f>IF(ISNA(VLOOKUP($D$167,'[2]Val-Dép'!$D$77:$F$77,2,FALSE)),,VLOOKUP($D$167,'[2]Val-Dép'!$D$77:$F$77,2,FALSE))</f>
        <v>0</v>
      </c>
      <c r="E168" s="1192"/>
      <c r="F168" s="1255"/>
      <c r="G168" s="1399"/>
      <c r="H168" s="1189">
        <f>IF(ISNA(VLOOKUP($D$167,'[2]Val-Dép'!$D$77:$F$77,2,FALSE)),,VLOOKUP($D$167,'[2]Val-Dép'!$D$77:$F$77,2,FALSE))</f>
        <v>0</v>
      </c>
      <c r="I168" s="2735"/>
      <c r="M168" s="1081"/>
      <c r="N168" s="1081"/>
    </row>
    <row r="169" spans="2:31" ht="14.1" customHeight="1" x14ac:dyDescent="0.25">
      <c r="B169" s="1081"/>
      <c r="C169" s="1410"/>
      <c r="D169" s="1411">
        <f>IF(ISNA(VLOOKUP($D$167,'[2]Val-Dép'!$D$78:$F$78,2,FALSE)),,VLOOKUP($D$167,'[2]Val-Dép'!$D$78:$F$78,2,FALSE))</f>
        <v>0</v>
      </c>
      <c r="E169" s="1192"/>
      <c r="F169" s="1255"/>
      <c r="G169" s="1399"/>
      <c r="H169" s="1189">
        <f>IF(ISNA(VLOOKUP($D$167,'[2]Val-Dép'!$D$78:$F$78,2,FALSE)),,VLOOKUP($D$167,'[2]Val-Dép'!$D$78:$F$78,2,FALSE))</f>
        <v>0</v>
      </c>
      <c r="I169" s="2735"/>
      <c r="L169" s="1171"/>
      <c r="M169" s="1170"/>
      <c r="N169" s="1170"/>
      <c r="V169" s="1416"/>
      <c r="W169" s="1417"/>
      <c r="X169" s="4206" t="s">
        <v>2023</v>
      </c>
      <c r="Y169" s="4206"/>
      <c r="Z169" s="1417"/>
      <c r="AA169" s="1417"/>
      <c r="AB169" s="1417"/>
      <c r="AC169" s="4206" t="s">
        <v>2022</v>
      </c>
      <c r="AD169" s="4206"/>
      <c r="AE169" s="1418"/>
    </row>
    <row r="170" spans="2:31" ht="14.1" customHeight="1" x14ac:dyDescent="0.3">
      <c r="B170" s="1413"/>
      <c r="C170" s="1414"/>
      <c r="D170" s="1258"/>
      <c r="E170" s="1415"/>
      <c r="F170" s="1258"/>
      <c r="G170" s="1258"/>
      <c r="H170" s="1414"/>
      <c r="L170" s="1080"/>
      <c r="M170" s="1080"/>
      <c r="N170" s="1080"/>
      <c r="O170" s="1168"/>
      <c r="V170" s="1419"/>
      <c r="W170" s="1081"/>
      <c r="X170" s="1420" t="s">
        <v>2024</v>
      </c>
      <c r="Y170" s="1421" t="s">
        <v>2025</v>
      </c>
      <c r="Z170" s="1081"/>
      <c r="AA170" s="1081"/>
      <c r="AB170" s="1081"/>
      <c r="AC170" s="1420" t="s">
        <v>8</v>
      </c>
      <c r="AD170" s="1421" t="s">
        <v>13</v>
      </c>
      <c r="AE170" s="1422"/>
    </row>
    <row r="171" spans="2:31" ht="14.1" customHeight="1" x14ac:dyDescent="0.3">
      <c r="D171" s="1258"/>
      <c r="E171" s="1415"/>
      <c r="F171" s="1258"/>
      <c r="G171" s="1258"/>
      <c r="H171" s="1414"/>
      <c r="V171" s="1419"/>
      <c r="W171" s="1081"/>
      <c r="X171" s="1081"/>
      <c r="Y171" s="1256" t="s">
        <v>2020</v>
      </c>
      <c r="Z171" s="1081"/>
      <c r="AA171" s="1081"/>
      <c r="AB171" s="1081"/>
      <c r="AC171" s="1081"/>
      <c r="AD171" s="1256" t="s">
        <v>2020</v>
      </c>
      <c r="AE171" s="1422"/>
    </row>
    <row r="172" spans="2:31" ht="14.1" customHeight="1" x14ac:dyDescent="0.3">
      <c r="D172" s="1258"/>
      <c r="E172" s="1415"/>
      <c r="F172" s="1258"/>
      <c r="G172" s="1258"/>
      <c r="H172" s="1414"/>
      <c r="V172" s="1419"/>
      <c r="W172" s="1081"/>
      <c r="X172" s="1258"/>
      <c r="Y172" s="1081" t="s">
        <v>2026</v>
      </c>
      <c r="Z172" s="1081"/>
      <c r="AA172" s="1081"/>
      <c r="AB172" s="1081"/>
      <c r="AC172" s="1258"/>
      <c r="AD172" s="1081" t="s">
        <v>2021</v>
      </c>
      <c r="AE172" s="1422"/>
    </row>
    <row r="173" spans="2:31" ht="14.1" customHeight="1" thickBot="1" x14ac:dyDescent="0.35">
      <c r="D173" s="1258"/>
      <c r="E173" s="1415"/>
      <c r="F173" s="1258"/>
      <c r="G173" s="1258"/>
      <c r="H173" s="1414"/>
      <c r="V173" s="1419"/>
      <c r="W173" s="1425" t="s">
        <v>186</v>
      </c>
      <c r="X173" s="1426">
        <v>4510</v>
      </c>
      <c r="Y173" s="1427">
        <v>4114</v>
      </c>
      <c r="Z173" s="1264" t="s">
        <v>185</v>
      </c>
      <c r="AA173" s="1081"/>
      <c r="AB173" s="1425" t="s">
        <v>195</v>
      </c>
      <c r="AC173" s="1426">
        <v>4110</v>
      </c>
      <c r="AD173" s="1427">
        <v>4514</v>
      </c>
      <c r="AE173" s="1428" t="s">
        <v>193</v>
      </c>
    </row>
    <row r="174" spans="2:31" ht="14.1" customHeight="1" x14ac:dyDescent="0.3">
      <c r="D174" s="1258"/>
      <c r="E174" s="1415"/>
      <c r="F174" s="1258"/>
      <c r="G174" s="1258"/>
      <c r="H174" s="1414"/>
      <c r="Q174" s="1255"/>
      <c r="V174" s="1419"/>
      <c r="W174" s="1081"/>
      <c r="X174" s="1429" t="str">
        <f>'Val-Dép'!T13</f>
        <v/>
      </c>
      <c r="Y174" s="1189">
        <f>'Val-Dép'!W13</f>
        <v>0</v>
      </c>
      <c r="Z174" s="1081"/>
      <c r="AA174" s="1081"/>
      <c r="AB174" s="1081"/>
      <c r="AC174" s="1189">
        <f>'Val-Dép'!Z35</f>
        <v>0</v>
      </c>
      <c r="AD174" s="1430" t="str">
        <f>'Val-Dép'!AA35</f>
        <v>0</v>
      </c>
      <c r="AE174" s="1422"/>
    </row>
    <row r="175" spans="2:31" ht="14.1" customHeight="1" x14ac:dyDescent="0.3">
      <c r="D175" s="1258"/>
      <c r="E175" s="1415"/>
      <c r="F175" s="1258"/>
      <c r="G175" s="1258"/>
      <c r="H175" s="1414"/>
      <c r="Q175" s="1255"/>
      <c r="V175" s="1419"/>
      <c r="W175" s="1081"/>
      <c r="X175" s="1429" t="str">
        <f>'Val-Dép'!T14</f>
        <v>0</v>
      </c>
      <c r="Y175" s="1189">
        <f>'Val-Dép'!W14</f>
        <v>0</v>
      </c>
      <c r="Z175" s="1081"/>
      <c r="AA175" s="1081"/>
      <c r="AB175" s="1081"/>
      <c r="AC175" s="1189">
        <f>'Val-Dép'!Z36</f>
        <v>0</v>
      </c>
      <c r="AD175" s="1429" t="str">
        <f>'Val-Dép'!AA36</f>
        <v>0</v>
      </c>
      <c r="AE175" s="1422"/>
    </row>
    <row r="176" spans="2:31" ht="14.1" customHeight="1" x14ac:dyDescent="0.3">
      <c r="D176" s="1258"/>
      <c r="E176" s="1415"/>
      <c r="F176" s="1258"/>
      <c r="G176" s="1258"/>
      <c r="H176" s="1414"/>
      <c r="Q176" s="1255"/>
      <c r="T176" s="1081"/>
      <c r="V176" s="1419"/>
      <c r="W176" s="1081"/>
      <c r="X176" s="1429" t="str">
        <f>'Val-Dép'!T15</f>
        <v>0</v>
      </c>
      <c r="Y176" s="1189">
        <f>'Val-Dép'!W15</f>
        <v>0</v>
      </c>
      <c r="Z176" s="1081"/>
      <c r="AA176" s="1081"/>
      <c r="AB176" s="1081"/>
      <c r="AC176" s="1189">
        <f>'Val-Dép'!Z37</f>
        <v>0</v>
      </c>
      <c r="AD176" s="1429" t="str">
        <f>'Val-Dép'!AA37</f>
        <v>0</v>
      </c>
      <c r="AE176" s="1422"/>
    </row>
    <row r="177" spans="2:31" ht="14.1" customHeight="1" x14ac:dyDescent="0.3">
      <c r="B177" s="1081"/>
      <c r="C177" s="1081"/>
      <c r="D177" s="1258"/>
      <c r="E177" s="1415"/>
      <c r="F177" s="1258"/>
      <c r="G177" s="1258"/>
      <c r="H177" s="1414"/>
      <c r="Q177" s="1255"/>
      <c r="T177" s="1081"/>
      <c r="V177" s="1419"/>
      <c r="W177" s="1081"/>
      <c r="X177" s="1429" t="str">
        <f>'Val-Dép'!T16</f>
        <v>0</v>
      </c>
      <c r="Y177" s="1189">
        <f>'Val-Dép'!W16</f>
        <v>0</v>
      </c>
      <c r="Z177" s="1081"/>
      <c r="AA177" s="1081"/>
      <c r="AB177" s="1081"/>
      <c r="AC177" s="1189">
        <f>'Val-Dép'!Z38</f>
        <v>0</v>
      </c>
      <c r="AD177" s="1429" t="str">
        <f>'Val-Dép'!AA38</f>
        <v>0</v>
      </c>
      <c r="AE177" s="1422"/>
    </row>
    <row r="178" spans="2:31" ht="14.1" customHeight="1" x14ac:dyDescent="0.3">
      <c r="B178" s="1081"/>
      <c r="D178" s="1258"/>
      <c r="E178" s="1415"/>
      <c r="F178" s="1258"/>
      <c r="G178" s="1258"/>
      <c r="H178" s="1414"/>
      <c r="Q178" s="1255"/>
      <c r="V178" s="1419"/>
      <c r="W178" s="1081"/>
      <c r="X178" s="1429" t="str">
        <f>'Val-Dép'!T17</f>
        <v>0</v>
      </c>
      <c r="Y178" s="1189">
        <f>'Val-Dép'!W17</f>
        <v>0</v>
      </c>
      <c r="Z178" s="1081"/>
      <c r="AA178" s="1081"/>
      <c r="AB178" s="1081"/>
      <c r="AC178" s="1189">
        <f>'Val-Dép'!Z39</f>
        <v>0</v>
      </c>
      <c r="AD178" s="1429" t="str">
        <f>'Val-Dép'!AA39</f>
        <v>0</v>
      </c>
      <c r="AE178" s="1422"/>
    </row>
    <row r="179" spans="2:31" ht="14.1" customHeight="1" thickBot="1" x14ac:dyDescent="0.35">
      <c r="B179" s="1081"/>
      <c r="C179" s="1434"/>
      <c r="D179" s="1258"/>
      <c r="E179" s="1415"/>
      <c r="F179" s="1258"/>
      <c r="G179" s="1258"/>
      <c r="H179" s="1414"/>
      <c r="Q179" s="1255"/>
      <c r="V179" s="1419"/>
      <c r="W179" s="1081"/>
      <c r="X179" s="1429" t="str">
        <f>'Val-Dép'!T18</f>
        <v>0</v>
      </c>
      <c r="Y179" s="1189">
        <f>'Val-Dép'!W18</f>
        <v>0</v>
      </c>
      <c r="Z179" s="1081"/>
      <c r="AA179" s="1081"/>
      <c r="AB179" s="1081"/>
      <c r="AC179" s="1189">
        <f>'Val-Dép'!Z40</f>
        <v>0</v>
      </c>
      <c r="AD179" s="1429" t="str">
        <f>'Val-Dép'!AA40</f>
        <v>0</v>
      </c>
      <c r="AE179" s="1422"/>
    </row>
    <row r="180" spans="2:31" ht="14.1" customHeight="1" x14ac:dyDescent="0.3">
      <c r="B180" s="1081"/>
      <c r="C180" s="1315" t="str">
        <f>IF(OR('Val-Dép'!I36="Marchandise",'Val-Dép'!I36=""),VLOOKUP('Val-Dép'!I36,'Val-Dép'!I36:AE36,11,FALSE),"")</f>
        <v/>
      </c>
      <c r="D180" s="1258"/>
      <c r="E180" s="1415"/>
      <c r="F180" s="1258"/>
      <c r="G180" s="1258"/>
      <c r="H180" s="1414"/>
      <c r="Q180" s="1255"/>
      <c r="V180" s="1419"/>
      <c r="W180" s="1081"/>
      <c r="X180" s="1429" t="str">
        <f>'Val-Dép'!T19</f>
        <v>0</v>
      </c>
      <c r="Y180" s="1189">
        <f>'Val-Dép'!W19</f>
        <v>0</v>
      </c>
      <c r="Z180" s="1081"/>
      <c r="AA180" s="1081"/>
      <c r="AB180" s="1081"/>
      <c r="AC180" s="1189">
        <f>'Val-Dép'!Z41</f>
        <v>0</v>
      </c>
      <c r="AD180" s="1429" t="str">
        <f>'Val-Dép'!AA41</f>
        <v>0</v>
      </c>
      <c r="AE180" s="1422"/>
    </row>
    <row r="181" spans="2:31" ht="14.1" customHeight="1" thickBot="1" x14ac:dyDescent="0.4">
      <c r="B181" s="1433"/>
      <c r="D181" s="1258"/>
      <c r="E181" s="1415"/>
      <c r="F181" s="1258"/>
      <c r="G181" s="1258"/>
      <c r="H181" s="1414"/>
      <c r="Q181" s="1255"/>
      <c r="R181" s="1437"/>
      <c r="V181" s="1419"/>
      <c r="W181" s="1081"/>
      <c r="X181" s="1429" t="str">
        <f>'Val-Dép'!T20</f>
        <v>0</v>
      </c>
      <c r="Y181" s="1189">
        <f>'Val-Dép'!W20</f>
        <v>0</v>
      </c>
      <c r="Z181" s="1081"/>
      <c r="AA181" s="1081"/>
      <c r="AB181" s="1081"/>
      <c r="AC181" s="1189">
        <f>'Val-Dép'!Z42</f>
        <v>0</v>
      </c>
      <c r="AD181" s="1429" t="str">
        <f>'Val-Dép'!AA42</f>
        <v>0</v>
      </c>
      <c r="AE181" s="1422"/>
    </row>
    <row r="182" spans="2:31" ht="14.1" customHeight="1" x14ac:dyDescent="0.3">
      <c r="B182" s="1435"/>
      <c r="C182" s="1436" t="s">
        <v>2013</v>
      </c>
      <c r="D182" s="1258"/>
      <c r="E182" s="1415"/>
      <c r="F182" s="1258"/>
      <c r="G182" s="1258"/>
      <c r="H182" s="1414"/>
      <c r="Q182" s="1432"/>
      <c r="R182" s="1438"/>
      <c r="V182" s="1419"/>
      <c r="W182" s="1081"/>
      <c r="X182" s="1429" t="str">
        <f>'Val-Dép'!T21</f>
        <v>0</v>
      </c>
      <c r="Y182" s="1189">
        <f>'Val-Dép'!W21</f>
        <v>0</v>
      </c>
      <c r="Z182" s="1081"/>
      <c r="AA182" s="1081"/>
      <c r="AB182" s="1081"/>
      <c r="AC182" s="1189">
        <f>'Val-Dép'!Z43</f>
        <v>0</v>
      </c>
      <c r="AD182" s="1429" t="str">
        <f>'Val-Dép'!AA43</f>
        <v>0</v>
      </c>
      <c r="AE182" s="1422"/>
    </row>
    <row r="183" spans="2:31" ht="14.1" customHeight="1" x14ac:dyDescent="0.3">
      <c r="B183" s="4238" t="s">
        <v>349</v>
      </c>
      <c r="C183" s="4239"/>
      <c r="D183" s="1258"/>
      <c r="E183" s="1415"/>
      <c r="F183" s="1258"/>
      <c r="G183" s="1258"/>
      <c r="H183" s="1414"/>
      <c r="Q183" s="1255"/>
      <c r="R183" s="1440"/>
      <c r="S183" s="1087"/>
      <c r="V183" s="1419"/>
      <c r="W183" s="1081"/>
      <c r="X183" s="1429" t="str">
        <f>'Val-Dép'!T22</f>
        <v>0</v>
      </c>
      <c r="Y183" s="1189">
        <f>'Val-Dép'!W22</f>
        <v>0</v>
      </c>
      <c r="Z183" s="1081"/>
      <c r="AA183" s="1081"/>
      <c r="AB183" s="1081"/>
      <c r="AC183" s="1189">
        <f>'Val-Dép'!Z44</f>
        <v>0</v>
      </c>
      <c r="AD183" s="1429" t="str">
        <f>'Val-Dép'!AA44</f>
        <v>0</v>
      </c>
      <c r="AE183" s="1422"/>
    </row>
    <row r="184" spans="2:31" ht="14.1" customHeight="1" thickBot="1" x14ac:dyDescent="0.4">
      <c r="B184" s="1180" t="s">
        <v>186</v>
      </c>
      <c r="C184" s="1439" t="s">
        <v>1864</v>
      </c>
      <c r="D184" s="1258"/>
      <c r="E184" s="1415"/>
      <c r="F184" s="1258"/>
      <c r="G184" s="1258"/>
      <c r="H184" s="1414"/>
      <c r="Q184" s="1437"/>
      <c r="R184" s="1440"/>
      <c r="S184" s="1087"/>
      <c r="V184" s="1419"/>
      <c r="W184" s="1081"/>
      <c r="X184" s="1429" t="str">
        <f>'Val-Dép'!T23</f>
        <v>0</v>
      </c>
      <c r="Y184" s="1189">
        <f>'Val-Dép'!W23</f>
        <v>0</v>
      </c>
      <c r="Z184" s="1081"/>
      <c r="AA184" s="1081"/>
      <c r="AB184" s="1081"/>
      <c r="AC184" s="1189">
        <f>'Val-Dép'!Z45</f>
        <v>0</v>
      </c>
      <c r="AD184" s="1429" t="str">
        <f>'Val-Dép'!AA45</f>
        <v>0</v>
      </c>
      <c r="AE184" s="1422"/>
    </row>
    <row r="185" spans="2:31" ht="14.1" customHeight="1" thickBot="1" x14ac:dyDescent="0.35">
      <c r="B185" s="1441" t="s">
        <v>354</v>
      </c>
      <c r="C185" s="1442" t="str">
        <f>IF(AND('Val-Dép'!E35&gt;=60000,'Val-Dép'!E35&lt;61000 ),'Val-Dép'!S35,"0")</f>
        <v>0</v>
      </c>
      <c r="D185" s="1258"/>
      <c r="E185" s="1415"/>
      <c r="F185" s="1258"/>
      <c r="G185" s="1258"/>
      <c r="H185" s="1414"/>
      <c r="Q185" s="1438"/>
      <c r="R185" s="1440"/>
      <c r="S185" s="1087"/>
      <c r="V185" s="1419"/>
      <c r="W185" s="1081"/>
      <c r="X185" s="1429" t="str">
        <f>'Val-Dép'!T24</f>
        <v>0</v>
      </c>
      <c r="Y185" s="1445">
        <f>'Val-Dép'!W24</f>
        <v>0</v>
      </c>
      <c r="Z185" s="1081"/>
      <c r="AA185" s="1081"/>
      <c r="AB185" s="1081"/>
      <c r="AC185" s="1425"/>
      <c r="AD185" s="1264"/>
      <c r="AE185" s="1422"/>
    </row>
    <row r="186" spans="2:31" ht="14.1" customHeight="1" x14ac:dyDescent="0.3">
      <c r="B186" s="1443" t="s">
        <v>355</v>
      </c>
      <c r="C186" s="1444" t="str">
        <f>IF(AND('Val-Dép'!E36&gt;=60000,'Val-Dép'!E36&lt;61000 ),'Val-Dép'!S36,"0")</f>
        <v>0</v>
      </c>
      <c r="D186" s="1258"/>
      <c r="E186" s="1415"/>
      <c r="F186" s="1258"/>
      <c r="G186" s="1258"/>
      <c r="H186" s="1414"/>
      <c r="Q186" s="1440"/>
      <c r="R186" s="2596"/>
      <c r="S186" s="2596"/>
      <c r="V186" s="1419"/>
      <c r="W186" s="1081"/>
      <c r="X186" s="1255">
        <f>SUM(X174:X185)</f>
        <v>0</v>
      </c>
      <c r="Y186" s="1168">
        <f>SUM(Y174:Y185)</f>
        <v>0</v>
      </c>
      <c r="Z186" s="1081"/>
      <c r="AA186" s="1081"/>
      <c r="AB186" s="1081"/>
      <c r="AC186" s="1168">
        <f>SUM(AC174:AC184)</f>
        <v>0</v>
      </c>
      <c r="AD186" s="1168">
        <f>SUM(AD174:AD185)</f>
        <v>0</v>
      </c>
      <c r="AE186" s="1422"/>
    </row>
    <row r="187" spans="2:31" ht="14.1" customHeight="1" x14ac:dyDescent="0.3">
      <c r="B187" s="1443" t="s">
        <v>356</v>
      </c>
      <c r="C187" s="1444" t="str">
        <f>IF(AND('Val-Dép'!E37&gt;=60000,'Val-Dép'!E37&lt;61000 ),'Val-Dép'!S37,"0")</f>
        <v>0</v>
      </c>
      <c r="D187" s="1258"/>
      <c r="E187" s="1415"/>
      <c r="F187" s="1258"/>
      <c r="G187" s="1258"/>
      <c r="H187" s="1414"/>
      <c r="Q187" s="1440"/>
      <c r="V187" s="1419"/>
      <c r="W187" s="1081"/>
      <c r="X187" s="1081"/>
      <c r="Y187" s="1081"/>
      <c r="Z187" s="1081"/>
      <c r="AA187" s="1081"/>
      <c r="AB187" s="1081"/>
      <c r="AC187" s="1081"/>
      <c r="AD187" s="1081"/>
      <c r="AE187" s="1422"/>
    </row>
    <row r="188" spans="2:31" ht="14.1" customHeight="1" thickBot="1" x14ac:dyDescent="0.35">
      <c r="B188" s="1443" t="s">
        <v>357</v>
      </c>
      <c r="C188" s="1444" t="str">
        <f>IF(AND('Val-Dép'!E38&gt;=60000,'Val-Dép'!E38&lt;61000 ),'Val-Dép'!S38,"0")</f>
        <v>0</v>
      </c>
      <c r="D188" s="1258"/>
      <c r="E188" s="1415"/>
      <c r="F188" s="1258"/>
      <c r="G188" s="1258"/>
      <c r="H188" s="1414"/>
      <c r="Q188" s="1440"/>
      <c r="R188" s="2596"/>
      <c r="S188" s="2596"/>
      <c r="V188" s="1419"/>
      <c r="W188" s="1264" t="s">
        <v>203</v>
      </c>
      <c r="Y188" s="1265">
        <f>(Y186-X186)</f>
        <v>0</v>
      </c>
      <c r="Z188" s="1081"/>
      <c r="AA188" s="1081"/>
      <c r="AB188" s="1264" t="s">
        <v>203</v>
      </c>
      <c r="AC188" s="1265">
        <f>(AC186-AD186)</f>
        <v>0</v>
      </c>
      <c r="AD188" s="1081"/>
      <c r="AE188" s="1422"/>
    </row>
    <row r="189" spans="2:31" ht="14.1" customHeight="1" x14ac:dyDescent="0.3">
      <c r="B189" s="1443" t="s">
        <v>358</v>
      </c>
      <c r="C189" s="1444" t="str">
        <f>IF(AND('Val-Dép'!E39&gt;=60000,'Val-Dép'!E39&lt;61000 ),'Val-Dép'!S39,"0")</f>
        <v>0</v>
      </c>
      <c r="D189" s="1258"/>
      <c r="E189" s="1415"/>
      <c r="F189" s="1258"/>
      <c r="G189" s="1258"/>
      <c r="H189" s="1414"/>
      <c r="Q189" s="2596"/>
      <c r="R189" s="2597"/>
      <c r="S189" s="2597"/>
      <c r="V189" s="1419"/>
      <c r="W189" s="1081"/>
      <c r="Y189" s="1081"/>
      <c r="Z189" s="1081"/>
      <c r="AA189" s="1081"/>
      <c r="AB189" s="1081"/>
      <c r="AC189" s="1081"/>
      <c r="AD189" s="1081"/>
      <c r="AE189" s="1422"/>
    </row>
    <row r="190" spans="2:31" ht="14.1" customHeight="1" x14ac:dyDescent="0.3">
      <c r="B190" s="1443" t="s">
        <v>359</v>
      </c>
      <c r="C190" s="1444" t="str">
        <f>IF(AND('Val-Dép'!E40&gt;=60000,'Val-Dép'!E40&lt;61000 ),'Val-Dép'!S40,"0")</f>
        <v>0</v>
      </c>
      <c r="D190" s="1258"/>
      <c r="E190" s="1415"/>
      <c r="F190" s="1258"/>
      <c r="G190" s="1258"/>
      <c r="H190" s="1414"/>
      <c r="Q190" s="1446"/>
      <c r="R190" s="2595"/>
      <c r="S190" s="2595"/>
      <c r="V190" s="1419"/>
      <c r="W190" s="1081"/>
      <c r="Y190" s="1081"/>
      <c r="Z190" s="1081"/>
      <c r="AA190" s="1081"/>
      <c r="AB190" s="1081"/>
      <c r="AC190" s="1168">
        <f>'Val-Dép'!AD46</f>
        <v>0</v>
      </c>
      <c r="AD190" s="1081"/>
      <c r="AE190" s="1422"/>
    </row>
    <row r="191" spans="2:31" ht="14.1" customHeight="1" x14ac:dyDescent="0.3">
      <c r="B191" s="1443" t="s">
        <v>360</v>
      </c>
      <c r="C191" s="1444" t="str">
        <f>IF(AND('Val-Dép'!E41&gt;=60000,'Val-Dép'!E41&lt;61000 ),'Val-Dép'!S41,"0")</f>
        <v>0</v>
      </c>
      <c r="D191" s="1258"/>
      <c r="E191" s="1415"/>
      <c r="F191" s="1258"/>
      <c r="G191" s="1258"/>
      <c r="H191" s="1414"/>
      <c r="Q191" s="2596"/>
      <c r="R191" s="2598"/>
      <c r="S191" s="2598"/>
      <c r="V191" s="1419"/>
      <c r="W191" s="1081"/>
      <c r="Y191" s="1168"/>
      <c r="Z191" s="1081"/>
      <c r="AA191" s="1081"/>
      <c r="AB191" s="1081"/>
      <c r="AC191" s="1168">
        <f>'Val-Dép'!AE46</f>
        <v>0</v>
      </c>
      <c r="AD191" s="1081"/>
      <c r="AE191" s="1422"/>
    </row>
    <row r="192" spans="2:31" ht="14.1" customHeight="1" x14ac:dyDescent="0.3">
      <c r="B192" s="1443" t="s">
        <v>361</v>
      </c>
      <c r="C192" s="1444" t="str">
        <f>IF(AND('Val-Dép'!E42&gt;=60000,'Val-Dép'!E42&lt;61000 ),'Val-Dép'!S42,"0")</f>
        <v>0</v>
      </c>
      <c r="D192" s="1258"/>
      <c r="E192" s="1415"/>
      <c r="F192" s="1258"/>
      <c r="G192" s="1258"/>
      <c r="H192" s="1414"/>
      <c r="Q192" s="2597"/>
      <c r="V192" s="1419"/>
      <c r="W192" s="1449"/>
      <c r="Y192" s="1449"/>
      <c r="Z192" s="1081"/>
      <c r="AA192" s="1081"/>
      <c r="AB192" s="1449"/>
      <c r="AC192" s="1449"/>
      <c r="AD192" s="1081"/>
      <c r="AE192" s="1422"/>
    </row>
    <row r="193" spans="2:31" ht="14.1" customHeight="1" x14ac:dyDescent="0.3">
      <c r="B193" s="1443" t="s">
        <v>362</v>
      </c>
      <c r="C193" s="1444" t="str">
        <f>IF(AND('Val-Dép'!E43&gt;=60000,'Val-Dép'!E43&lt;61000 ),'Val-Dép'!S43,"0")</f>
        <v>0</v>
      </c>
      <c r="D193" s="1258"/>
      <c r="E193" s="1415"/>
      <c r="F193" s="1258"/>
      <c r="G193" s="1258"/>
      <c r="H193" s="1414"/>
      <c r="Q193" s="2595"/>
      <c r="V193" s="1419"/>
      <c r="W193" s="1081"/>
      <c r="Y193" s="1168">
        <f>SUM(Y188:Y192)</f>
        <v>0</v>
      </c>
      <c r="Z193" s="1081"/>
      <c r="AA193" s="1081"/>
      <c r="AB193" s="1081"/>
      <c r="AC193" s="1168">
        <f>SUM(AC188:AC192)</f>
        <v>0</v>
      </c>
      <c r="AD193" s="1081"/>
      <c r="AE193" s="1422"/>
    </row>
    <row r="194" spans="2:31" ht="14.1" customHeight="1" thickBot="1" x14ac:dyDescent="0.35">
      <c r="B194" s="1450" t="s">
        <v>55</v>
      </c>
      <c r="C194" s="1444" t="str">
        <f>IF(AND('Val-Dép'!E44&gt;=60000,'Val-Dép'!E44&lt;61000 ),'Val-Dép'!S44,"0")</f>
        <v>0</v>
      </c>
      <c r="D194" s="1258"/>
      <c r="E194" s="1415"/>
      <c r="F194" s="1258"/>
      <c r="G194" s="1258"/>
      <c r="H194" s="1414"/>
      <c r="Q194" s="2598"/>
      <c r="V194" s="1419"/>
      <c r="W194" s="1081"/>
      <c r="X194" s="1081"/>
      <c r="Y194" s="1081"/>
      <c r="Z194" s="1081"/>
      <c r="AA194" s="1081"/>
      <c r="AB194" s="1081"/>
      <c r="AC194" s="1081"/>
      <c r="AD194" s="1081"/>
      <c r="AE194" s="1422"/>
    </row>
    <row r="195" spans="2:31" ht="14.1" customHeight="1" x14ac:dyDescent="0.3">
      <c r="B195" s="1451"/>
      <c r="C195" s="1452">
        <f>SUM(C185:C194)</f>
        <v>0</v>
      </c>
      <c r="D195" s="1258"/>
      <c r="E195" s="1415"/>
      <c r="F195" s="1258"/>
      <c r="G195" s="1258"/>
      <c r="H195" s="1414"/>
      <c r="V195" s="1419"/>
      <c r="W195" s="1081"/>
      <c r="Y195" s="1454" t="s">
        <v>13</v>
      </c>
      <c r="Z195" s="1455"/>
      <c r="AA195" s="1455"/>
      <c r="AB195" s="1455"/>
      <c r="AC195" s="1456" t="s">
        <v>293</v>
      </c>
      <c r="AD195" s="1081"/>
      <c r="AE195" s="1422"/>
    </row>
    <row r="196" spans="2:31" ht="14.1" customHeight="1" x14ac:dyDescent="0.3">
      <c r="B196" s="1451"/>
      <c r="C196" s="1453"/>
      <c r="D196" s="1258"/>
      <c r="E196" s="1415"/>
      <c r="F196" s="1258"/>
      <c r="G196" s="1258"/>
      <c r="H196" s="1414"/>
      <c r="V196" s="1419"/>
      <c r="W196" s="1081"/>
      <c r="Y196" s="1459"/>
      <c r="Z196" s="1081"/>
      <c r="AA196" s="1081"/>
      <c r="AB196" s="1081"/>
      <c r="AC196" s="1460"/>
      <c r="AD196" s="1081"/>
      <c r="AE196" s="1422"/>
    </row>
    <row r="197" spans="2:31" ht="14.1" customHeight="1" thickBot="1" x14ac:dyDescent="0.35">
      <c r="B197" s="1171"/>
      <c r="C197" s="1457">
        <f>C195-D233</f>
        <v>0</v>
      </c>
      <c r="D197" s="1258"/>
      <c r="E197" s="1415"/>
      <c r="F197" s="1258"/>
      <c r="G197" s="1258"/>
      <c r="H197" s="1414"/>
      <c r="V197" s="1419"/>
      <c r="W197" s="1081"/>
      <c r="Y197" s="1087">
        <f>IF(Y193&lt;AC193,Y193-AC193,0)</f>
        <v>0</v>
      </c>
      <c r="Z197" s="1462"/>
      <c r="AA197" s="1462"/>
      <c r="AB197" s="1462"/>
      <c r="AC197" s="1463">
        <f>IF(Y193&gt;AC193,Y193-AC193,0)</f>
        <v>0</v>
      </c>
      <c r="AD197" s="1081"/>
      <c r="AE197" s="1422"/>
    </row>
    <row r="198" spans="2:31" ht="14.1" customHeight="1" thickBot="1" x14ac:dyDescent="0.35">
      <c r="B198" s="1461"/>
      <c r="D198" s="1258"/>
      <c r="E198" s="1415"/>
      <c r="F198" s="1258"/>
      <c r="G198" s="1258"/>
      <c r="H198" s="1414"/>
      <c r="V198" s="1466"/>
      <c r="W198" s="1467"/>
      <c r="X198" s="1467"/>
      <c r="Y198" s="1467"/>
      <c r="Z198" s="1467"/>
      <c r="AA198" s="1467"/>
      <c r="AB198" s="1467"/>
      <c r="AC198" s="1467"/>
      <c r="AD198" s="1467"/>
      <c r="AE198" s="1468"/>
    </row>
    <row r="199" spans="2:31" ht="14.1" customHeight="1" x14ac:dyDescent="0.3">
      <c r="B199" s="1464"/>
      <c r="C199" s="1081"/>
      <c r="D199" s="1258"/>
      <c r="E199" s="1415"/>
      <c r="F199" s="1258"/>
      <c r="G199" s="1258"/>
      <c r="H199" s="1414"/>
      <c r="V199" s="1081"/>
    </row>
    <row r="200" spans="2:31" ht="14.1" customHeight="1" x14ac:dyDescent="0.3">
      <c r="B200" s="1469" t="s">
        <v>188</v>
      </c>
      <c r="C200" s="1470"/>
      <c r="D200" s="1258"/>
      <c r="E200" s="1415"/>
      <c r="F200" s="1258"/>
      <c r="G200" s="1258"/>
      <c r="H200" s="1414"/>
      <c r="V200" s="1081"/>
    </row>
    <row r="201" spans="2:31" ht="14.1" customHeight="1" thickBot="1" x14ac:dyDescent="0.35">
      <c r="B201" s="1471"/>
      <c r="C201" s="1472"/>
      <c r="D201" s="1258"/>
      <c r="E201" s="1415"/>
      <c r="F201" s="1258"/>
      <c r="G201" s="1258"/>
      <c r="H201" s="1414"/>
      <c r="V201" s="1081"/>
    </row>
    <row r="202" spans="2:31" ht="14.1" customHeight="1" thickTop="1" x14ac:dyDescent="0.3">
      <c r="B202" s="1081"/>
      <c r="C202" s="1473"/>
      <c r="D202" s="1258"/>
      <c r="E202" s="1415"/>
      <c r="F202" s="1258"/>
      <c r="G202" s="1258"/>
      <c r="H202" s="1414"/>
      <c r="V202" s="1081"/>
    </row>
    <row r="203" spans="2:31" ht="14.1" customHeight="1" x14ac:dyDescent="0.3">
      <c r="C203" s="1080" t="s">
        <v>2</v>
      </c>
      <c r="D203" s="1258"/>
      <c r="E203" s="1415"/>
      <c r="F203" s="1258"/>
      <c r="G203" s="1258"/>
      <c r="H203" s="1414"/>
      <c r="Q203" s="1255"/>
      <c r="V203" s="1081"/>
    </row>
    <row r="204" spans="2:31" ht="14.1" customHeight="1" thickBot="1" x14ac:dyDescent="0.35">
      <c r="B204" s="1180" t="s">
        <v>186</v>
      </c>
      <c r="C204" s="1474">
        <v>61210</v>
      </c>
      <c r="D204" s="1258"/>
      <c r="E204" s="1415"/>
      <c r="F204" s="1258"/>
      <c r="G204" s="1258"/>
      <c r="H204" s="1414"/>
      <c r="Q204" s="1255"/>
    </row>
    <row r="205" spans="2:31" ht="14.1" customHeight="1" x14ac:dyDescent="0.3">
      <c r="B205" s="1087">
        <v>35</v>
      </c>
      <c r="C205" s="1475">
        <f>IF(ISNA(VLOOKUP($D$242,'Val-Dép'!I35:AC35,8,FALSE)),,VLOOKUP($D$242,'Val-Dép'!I35:AC35,8,FALSE))</f>
        <v>0</v>
      </c>
      <c r="D205" s="1258"/>
      <c r="E205" s="1415"/>
      <c r="F205" s="1258"/>
      <c r="G205" s="1258"/>
      <c r="H205" s="1414"/>
      <c r="Q205" s="1255"/>
    </row>
    <row r="206" spans="2:31" ht="14.1" customHeight="1" x14ac:dyDescent="0.3">
      <c r="B206" s="1087">
        <v>36</v>
      </c>
      <c r="C206" s="1476">
        <f>IF(ISNA(VLOOKUP($D$242,'Val-Dép'!I36:AC36,8,FALSE)),,VLOOKUP($D$242,'Val-Dép'!I36:AC36,8,FALSE))</f>
        <v>0</v>
      </c>
      <c r="D206" s="1258"/>
      <c r="E206" s="1415"/>
      <c r="F206" s="1258"/>
      <c r="G206" s="1258"/>
      <c r="H206" s="1414"/>
      <c r="AA206" s="1087" t="s">
        <v>293</v>
      </c>
      <c r="AC206" s="1081"/>
      <c r="AD206" s="1081"/>
      <c r="AE206" s="1081"/>
    </row>
    <row r="207" spans="2:31" ht="14.1" customHeight="1" x14ac:dyDescent="0.3">
      <c r="B207" s="1087">
        <v>37</v>
      </c>
      <c r="C207" s="1476">
        <f>IF(ISNA(VLOOKUP($D$242,'Val-Dép'!I37:AC37,8,FALSE)),,VLOOKUP($D$242,'Val-Dép'!I37:AC37,8,FALSE))</f>
        <v>0</v>
      </c>
      <c r="D207" s="1258"/>
      <c r="E207" s="1415"/>
      <c r="F207" s="1258"/>
      <c r="G207" s="1258"/>
      <c r="H207" s="1414"/>
      <c r="Q207" s="1255"/>
      <c r="Z207" s="1477">
        <v>411020</v>
      </c>
      <c r="AA207" s="1087" t="s">
        <v>274</v>
      </c>
      <c r="AC207" s="1081"/>
      <c r="AD207" s="1081"/>
      <c r="AE207" s="1081"/>
    </row>
    <row r="208" spans="2:31" ht="14.1" customHeight="1" x14ac:dyDescent="0.3">
      <c r="B208" s="1087">
        <v>38</v>
      </c>
      <c r="C208" s="1476">
        <f>IF(ISNA(VLOOKUP($D$242,'Val-Dép'!I38:AC38,8,FALSE)),,VLOOKUP($D$242,'Val-Dép'!I38:AC38,8,FALSE))</f>
        <v>0</v>
      </c>
      <c r="D208" s="1258"/>
      <c r="E208" s="1415"/>
      <c r="F208" s="1258"/>
      <c r="G208" s="1258"/>
      <c r="H208" s="1414"/>
      <c r="Q208" s="1255"/>
      <c r="V208" s="1081"/>
      <c r="W208" s="1081"/>
      <c r="X208" s="1081"/>
      <c r="Z208" s="1477">
        <v>411230</v>
      </c>
      <c r="AA208" s="1087" t="s">
        <v>294</v>
      </c>
      <c r="AC208" s="1081"/>
      <c r="AD208" s="1081"/>
      <c r="AE208" s="1081"/>
    </row>
    <row r="209" spans="2:53" ht="14.1" customHeight="1" x14ac:dyDescent="0.25">
      <c r="B209" s="1087">
        <v>39</v>
      </c>
      <c r="C209" s="1476">
        <f>IF(ISNA(VLOOKUP($D$242,'Val-Dép'!I39:AC39,8,FALSE)),,VLOOKUP($D$242,'Val-Dép'!I39:AC39,8,FALSE))</f>
        <v>0</v>
      </c>
      <c r="H209" s="1255"/>
      <c r="K209" s="1087" t="s">
        <v>363</v>
      </c>
      <c r="O209" s="1397"/>
      <c r="Q209" s="1255"/>
      <c r="V209" s="1081"/>
      <c r="W209" s="1081"/>
      <c r="X209" s="1081"/>
      <c r="Y209" s="1081"/>
      <c r="Z209" s="1478">
        <v>411040</v>
      </c>
      <c r="AA209" s="1315" t="s">
        <v>295</v>
      </c>
      <c r="AB209" s="1081"/>
      <c r="AC209" s="1081"/>
      <c r="AD209" s="1081"/>
      <c r="AE209" s="1081"/>
    </row>
    <row r="210" spans="2:53" ht="14.1" customHeight="1" x14ac:dyDescent="0.25">
      <c r="B210" s="1087">
        <v>40</v>
      </c>
      <c r="C210" s="1476">
        <f>IF(ISNA(VLOOKUP($D$242,'Val-Dép'!I40:AC40,8,FALSE)),,VLOOKUP($D$242,'Val-Dép'!I40:AC40,8,FALSE))</f>
        <v>0</v>
      </c>
      <c r="H210" s="1255"/>
      <c r="I210" s="4234" t="s">
        <v>2078</v>
      </c>
      <c r="J210" s="4234"/>
      <c r="L210" s="1397"/>
      <c r="M210" s="1397"/>
      <c r="N210" s="1397"/>
      <c r="O210" s="1397"/>
      <c r="Q210" s="1255" t="e">
        <f>O235</f>
        <v>#VALUE!</v>
      </c>
      <c r="R210" s="1087" t="s">
        <v>1630</v>
      </c>
      <c r="Y210" s="1081"/>
      <c r="Z210" s="1481"/>
      <c r="AA210" s="1162"/>
      <c r="AB210" s="1162"/>
      <c r="AC210" s="1081"/>
      <c r="AD210" s="1081"/>
      <c r="AE210" s="1081"/>
    </row>
    <row r="211" spans="2:53" ht="14.1" customHeight="1" thickBot="1" x14ac:dyDescent="0.3">
      <c r="B211" s="1087">
        <v>41</v>
      </c>
      <c r="C211" s="1476">
        <f>IF(ISNA(VLOOKUP($D$242,'Val-Dép'!I41:AC41,8,FALSE)),,VLOOKUP($D$242,'Val-Dép'!I41:AC41,8,FALSE))</f>
        <v>0</v>
      </c>
      <c r="E211" s="4236" t="s">
        <v>200</v>
      </c>
      <c r="F211" s="4236"/>
      <c r="G211" s="1479">
        <f>B198</f>
        <v>0</v>
      </c>
      <c r="H211" s="1480">
        <f>C197</f>
        <v>0</v>
      </c>
      <c r="I211" s="2732"/>
      <c r="J211" s="1397"/>
      <c r="L211" s="1397"/>
      <c r="M211" s="1397"/>
      <c r="N211" s="1397"/>
      <c r="Q211" s="1255" t="e">
        <f>T235</f>
        <v>#VALUE!</v>
      </c>
      <c r="R211" s="1087" t="s">
        <v>365</v>
      </c>
      <c r="Y211" s="1081">
        <v>69</v>
      </c>
      <c r="Z211" s="1481">
        <v>4114</v>
      </c>
      <c r="AA211" s="1162" t="s">
        <v>296</v>
      </c>
      <c r="AB211" s="1162"/>
      <c r="AC211" s="1081"/>
      <c r="AD211" s="1081"/>
      <c r="AE211" s="1081"/>
    </row>
    <row r="212" spans="2:53" ht="16.5" customHeight="1" thickBot="1" x14ac:dyDescent="0.35">
      <c r="B212" s="1087">
        <v>42</v>
      </c>
      <c r="C212" s="1476">
        <f>IF(ISNA(VLOOKUP($D$242,'Val-Dép'!I42:AC42,8,FALSE)),,VLOOKUP($D$242,'Val-Dép'!I42:AC42,8,FALSE))</f>
        <v>0</v>
      </c>
      <c r="E212" s="4199" t="s">
        <v>204</v>
      </c>
      <c r="F212" s="4199"/>
      <c r="G212" s="1261">
        <f>G236</f>
        <v>0</v>
      </c>
      <c r="H212" s="1265">
        <f>H235</f>
        <v>0</v>
      </c>
      <c r="O212" s="1484"/>
      <c r="P212" s="1485"/>
      <c r="Q212" s="1486" t="e">
        <f>SUM(Q211,Q210,AC151,T109,R84,R59,R32,R10)</f>
        <v>#VALUE!</v>
      </c>
      <c r="R212" s="1087" t="s">
        <v>189</v>
      </c>
      <c r="S212" s="1487"/>
      <c r="Y212" s="1081"/>
      <c r="Z212" s="1481"/>
      <c r="AA212" s="1162"/>
      <c r="AB212" s="1162"/>
      <c r="AC212" s="1081"/>
      <c r="AD212" s="1081"/>
      <c r="AE212" s="1081"/>
    </row>
    <row r="213" spans="2:53" ht="14.1" customHeight="1" thickBot="1" x14ac:dyDescent="0.35">
      <c r="B213" s="1087">
        <v>43</v>
      </c>
      <c r="C213" s="1476">
        <f>IF(ISNA(VLOOKUP($D$242,'Val-Dép'!I43:AC43,8,FALSE)),,VLOOKUP($D$242,'Val-Dép'!I43:AC43,8,FALSE))</f>
        <v>0</v>
      </c>
      <c r="D213" s="1482"/>
      <c r="E213" s="1081"/>
      <c r="G213" s="1081" t="s">
        <v>203</v>
      </c>
      <c r="H213" s="1483" t="e">
        <f>SUM(H212,H211,O155,O156,O157,M114,M91,M76,M63,M53,M41,M30,M20)</f>
        <v>#REF!</v>
      </c>
      <c r="I213" s="2737" t="e">
        <f>IF((H213=Q212),"Bilan correct","Revoir le BILAN")</f>
        <v>#REF!</v>
      </c>
      <c r="J213" s="1484"/>
      <c r="L213" s="1484"/>
      <c r="M213" s="1484"/>
      <c r="N213" s="1484"/>
      <c r="O213" s="1490"/>
      <c r="P213" s="1491"/>
      <c r="Q213" s="1139" t="s">
        <v>201</v>
      </c>
      <c r="R213" s="1492"/>
      <c r="Y213" s="1081"/>
      <c r="Z213" s="1481">
        <v>4117</v>
      </c>
      <c r="AA213" s="1162" t="s">
        <v>297</v>
      </c>
      <c r="AB213" s="1162"/>
      <c r="AC213" s="1081"/>
      <c r="AD213" s="1081"/>
      <c r="AE213" s="1081"/>
    </row>
    <row r="214" spans="2:53" ht="15" customHeight="1" x14ac:dyDescent="0.3">
      <c r="B214" s="1087">
        <v>44</v>
      </c>
      <c r="C214" s="1476">
        <f>IF(ISNA(VLOOKUP($D$242,'Val-Dép'!I44:AC44,8,FALSE)),,VLOOKUP($D$242,'Val-Dép'!I44:AC44,8,FALSE))</f>
        <v>0</v>
      </c>
      <c r="D214" s="1482"/>
      <c r="E214" s="1081"/>
      <c r="F214" s="1488"/>
      <c r="H214" s="1190" t="s">
        <v>202</v>
      </c>
      <c r="L214" s="1489"/>
      <c r="M214" s="1489"/>
      <c r="N214" s="1489"/>
      <c r="O214" s="1494"/>
      <c r="P214" s="1495"/>
      <c r="Q214" s="1496"/>
      <c r="R214" s="1492"/>
      <c r="T214" s="1488"/>
      <c r="U214" s="1492"/>
      <c r="Y214" s="1081"/>
      <c r="Z214" s="1481"/>
      <c r="AA214" s="1162"/>
      <c r="AB214" s="1162"/>
      <c r="AC214" s="1081"/>
      <c r="AD214" s="1081"/>
      <c r="AE214" s="1081"/>
    </row>
    <row r="215" spans="2:53" ht="15" customHeight="1" thickBot="1" x14ac:dyDescent="0.35">
      <c r="B215" s="1087">
        <v>45</v>
      </c>
      <c r="C215" s="1493">
        <f>IF(ISNA(VLOOKUP($D$242,'Val-Dép'!I45:AC45,8,FALSE)),,VLOOKUP($D$242,'Val-Dép'!I45:AC45,8,FALSE))</f>
        <v>0</v>
      </c>
      <c r="D215" s="1168"/>
      <c r="E215" s="1081"/>
      <c r="F215" s="1081"/>
      <c r="G215" s="1081"/>
      <c r="H215" s="1081"/>
      <c r="I215" s="4233" t="s">
        <v>2079</v>
      </c>
      <c r="J215" s="4233"/>
      <c r="L215" s="1494"/>
      <c r="M215" s="1494"/>
      <c r="N215" s="1494"/>
      <c r="O215" s="1494"/>
      <c r="P215" s="1495"/>
      <c r="Q215" s="1496"/>
      <c r="R215" s="1492"/>
      <c r="T215" s="1488"/>
      <c r="U215" s="1492"/>
      <c r="Y215" s="1081"/>
      <c r="Z215" s="1481"/>
      <c r="AA215" s="1162"/>
      <c r="AB215" s="1162"/>
      <c r="AC215" s="1081"/>
      <c r="AD215" s="1081"/>
      <c r="AE215" s="1081"/>
    </row>
    <row r="216" spans="2:53" ht="15" customHeight="1" x14ac:dyDescent="0.3">
      <c r="D216" s="1497"/>
      <c r="E216" s="1497"/>
      <c r="F216" s="1497"/>
      <c r="G216" s="1497"/>
      <c r="H216" s="1497"/>
      <c r="I216" s="2738"/>
      <c r="J216" s="1494"/>
      <c r="L216" s="1494"/>
      <c r="M216" s="1494"/>
      <c r="N216" s="1494"/>
      <c r="O216" s="1490"/>
      <c r="P216" s="1495"/>
      <c r="Q216" s="1496"/>
      <c r="R216" s="1492"/>
      <c r="T216" s="1488"/>
      <c r="U216" s="1492"/>
      <c r="Y216" s="1081"/>
      <c r="Z216" s="1481"/>
      <c r="AA216" s="1162"/>
      <c r="AB216" s="1162"/>
      <c r="AC216" s="1081"/>
      <c r="AD216" s="1081"/>
      <c r="AE216" s="1081"/>
    </row>
    <row r="217" spans="2:53" ht="15" customHeight="1" x14ac:dyDescent="0.3">
      <c r="D217" s="1168"/>
      <c r="E217" s="1081"/>
      <c r="F217" s="1081"/>
      <c r="G217" s="1081"/>
      <c r="H217" s="1081"/>
      <c r="I217" s="2706"/>
      <c r="J217" s="1081"/>
      <c r="L217" s="1489"/>
      <c r="M217" s="1489"/>
      <c r="N217" s="1489"/>
      <c r="O217" s="1490"/>
      <c r="P217" s="1495"/>
      <c r="Q217" s="1496"/>
      <c r="R217" s="1492"/>
      <c r="T217" s="1488"/>
      <c r="U217" s="1492"/>
      <c r="Y217" s="1081"/>
      <c r="Z217" s="1481"/>
      <c r="AA217" s="1162"/>
      <c r="AB217" s="1162"/>
      <c r="AC217" s="1081"/>
      <c r="AD217" s="1081"/>
      <c r="AE217" s="1081"/>
    </row>
    <row r="218" spans="2:53" ht="15" customHeight="1" thickBot="1" x14ac:dyDescent="0.35">
      <c r="D218" s="1168"/>
      <c r="E218" s="1081"/>
      <c r="F218" s="1081"/>
      <c r="G218" s="1081"/>
      <c r="H218" s="1081"/>
      <c r="I218" s="2706"/>
      <c r="J218" s="1081"/>
      <c r="L218" s="1489"/>
      <c r="M218" s="1489"/>
      <c r="N218" s="1489"/>
      <c r="O218" s="1501"/>
      <c r="P218" s="1501"/>
      <c r="Q218" s="1501"/>
      <c r="R218" s="1488"/>
      <c r="S218" s="1502"/>
      <c r="Y218" s="1081">
        <v>72</v>
      </c>
      <c r="Z218" s="1481">
        <v>4119</v>
      </c>
      <c r="AA218" s="1162" t="s">
        <v>298</v>
      </c>
      <c r="AB218" s="1162"/>
      <c r="AC218" s="1081"/>
      <c r="AD218" s="1081"/>
      <c r="AE218" s="1081"/>
      <c r="AL218" s="1081"/>
      <c r="AM218" s="1081"/>
      <c r="AN218" s="1081"/>
      <c r="AO218" s="1081"/>
      <c r="AP218" s="1081"/>
      <c r="AQ218" s="1081"/>
      <c r="AR218" s="1081"/>
      <c r="AS218" s="1081"/>
      <c r="AT218" s="1081"/>
      <c r="AU218" s="1081"/>
      <c r="AV218" s="1081"/>
      <c r="AW218" s="1081"/>
    </row>
    <row r="219" spans="2:53" ht="15" customHeight="1" thickTop="1" thickBot="1" x14ac:dyDescent="0.35">
      <c r="D219" s="1433"/>
      <c r="E219" s="1433"/>
      <c r="F219" s="1433"/>
      <c r="G219" s="1499"/>
      <c r="H219" s="1499"/>
      <c r="I219" s="2739"/>
      <c r="J219" s="1500"/>
      <c r="L219" s="1501"/>
      <c r="M219" s="1501"/>
      <c r="N219" s="1501"/>
      <c r="O219" s="1506"/>
      <c r="P219" s="1507"/>
      <c r="Q219" s="1508"/>
      <c r="R219" s="1508"/>
      <c r="S219" s="1509"/>
      <c r="T219" s="1510"/>
      <c r="U219" s="1511"/>
      <c r="Y219" s="1081"/>
      <c r="Z219" s="1481">
        <v>4118</v>
      </c>
      <c r="AA219" s="1162" t="s">
        <v>299</v>
      </c>
      <c r="AB219" s="1162"/>
      <c r="AC219" s="1081"/>
      <c r="AL219" s="1081"/>
      <c r="AM219" s="1081"/>
      <c r="AN219" s="1081"/>
      <c r="AO219" s="1081"/>
      <c r="AP219" s="1081"/>
      <c r="AQ219" s="1081"/>
      <c r="AR219" s="1081"/>
      <c r="AS219" s="1081"/>
      <c r="AT219" s="1081"/>
      <c r="AU219" s="1081"/>
      <c r="AV219" s="1081"/>
      <c r="AW219" s="1081"/>
    </row>
    <row r="220" spans="2:53" ht="15" customHeight="1" thickTop="1" thickBot="1" x14ac:dyDescent="0.35">
      <c r="D220" s="1436"/>
      <c r="E220" s="1436"/>
      <c r="F220" s="1436"/>
      <c r="G220" s="1436"/>
      <c r="H220" s="1436"/>
      <c r="I220" s="2740"/>
      <c r="J220" s="1504"/>
      <c r="L220" s="1505"/>
      <c r="M220" s="1506"/>
      <c r="N220" s="1506"/>
      <c r="O220" s="1424" t="s">
        <v>1622</v>
      </c>
      <c r="P220" s="1506"/>
      <c r="Q220" s="1180"/>
      <c r="R220" s="1180"/>
      <c r="S220" s="1694" t="s">
        <v>31</v>
      </c>
      <c r="T220" s="1694"/>
      <c r="U220" s="1513"/>
      <c r="W220" s="1499"/>
      <c r="X220" s="1514"/>
      <c r="Y220" s="1081"/>
      <c r="Z220" s="1481"/>
      <c r="AA220" s="1162"/>
      <c r="AB220" s="1162"/>
      <c r="AL220" s="1499"/>
      <c r="AM220" s="1514"/>
      <c r="AN220" s="1515"/>
      <c r="AO220" s="1516"/>
      <c r="AP220" s="1081"/>
      <c r="AQ220" s="1499"/>
      <c r="AR220" s="1514"/>
      <c r="AS220" s="1517"/>
      <c r="AT220" s="1516"/>
      <c r="AU220" s="1081"/>
      <c r="AV220" s="1081"/>
      <c r="AW220" s="1081"/>
    </row>
    <row r="221" spans="2:53" ht="15" customHeight="1" thickBot="1" x14ac:dyDescent="0.35">
      <c r="C221" s="1080" t="s">
        <v>2</v>
      </c>
      <c r="D221" s="1433" t="s">
        <v>199</v>
      </c>
      <c r="E221" s="1433"/>
      <c r="F221" s="1433"/>
      <c r="G221" s="1499"/>
      <c r="H221" s="1689" t="s">
        <v>31</v>
      </c>
      <c r="I221" s="2741"/>
      <c r="J221" s="1500"/>
      <c r="L221" s="1506"/>
      <c r="M221" s="1424" t="s">
        <v>198</v>
      </c>
      <c r="N221" s="1424"/>
      <c r="O221" s="1522" t="s">
        <v>194</v>
      </c>
      <c r="P221" s="1520" t="s">
        <v>193</v>
      </c>
      <c r="Q221" s="1081"/>
      <c r="R221" s="1520" t="s">
        <v>192</v>
      </c>
      <c r="S221" s="1523">
        <v>4510</v>
      </c>
      <c r="T221" s="1524" t="s">
        <v>2072</v>
      </c>
      <c r="U221" s="1525" t="s">
        <v>191</v>
      </c>
      <c r="W221" s="1499"/>
      <c r="X221" s="1514"/>
      <c r="Y221" s="1081"/>
      <c r="Z221" s="1231"/>
      <c r="AA221" s="1162"/>
      <c r="AB221" s="1162"/>
      <c r="AL221" s="1081"/>
      <c r="AM221" s="1482"/>
      <c r="AN221" s="1482"/>
      <c r="AO221" s="1171"/>
      <c r="AP221" s="1081"/>
      <c r="AQ221" s="1081"/>
      <c r="AR221" s="1081"/>
      <c r="AS221" s="1526"/>
      <c r="AT221" s="1171"/>
      <c r="AU221" s="1081"/>
      <c r="AV221" s="1081"/>
      <c r="AW221" s="1081"/>
    </row>
    <row r="222" spans="2:53" ht="14.1" customHeight="1" thickBot="1" x14ac:dyDescent="0.35">
      <c r="B222" s="1180" t="s">
        <v>186</v>
      </c>
      <c r="C222" s="1498">
        <v>611</v>
      </c>
      <c r="D222" s="1518" t="s">
        <v>197</v>
      </c>
      <c r="E222" s="1183" t="s">
        <v>185</v>
      </c>
      <c r="F222" s="1081"/>
      <c r="G222" s="1261" t="s">
        <v>186</v>
      </c>
      <c r="H222" s="1519" t="s">
        <v>2071</v>
      </c>
      <c r="I222" s="2742" t="s">
        <v>196</v>
      </c>
      <c r="J222" s="1261" t="s">
        <v>185</v>
      </c>
      <c r="L222" s="1520" t="s">
        <v>195</v>
      </c>
      <c r="M222" s="1521" t="s">
        <v>1863</v>
      </c>
      <c r="N222" s="1521"/>
      <c r="O222" s="1530" t="e">
        <f>IF(AND('Val-Dép'!E13&gt;=70000, 'Val-Dép'!E13&lt;=71000 ),'Val-Dép'!P13,"0")</f>
        <v>#VALUE!</v>
      </c>
      <c r="P222" s="1235" t="s">
        <v>16</v>
      </c>
      <c r="Q222" s="1531">
        <f>'Val-Dép'!I13</f>
        <v>0</v>
      </c>
      <c r="R222" s="1532"/>
      <c r="S222" s="1533" t="str">
        <f>IF(('Val-Dép'!I13="note de crédit"),VLOOKUP('Val-Dép'!I13,'Val-Dép'!I13:AC13,12,FALSE ),"")</f>
        <v/>
      </c>
      <c r="T222" s="1528" t="e">
        <f>IF(AND('Val-Dép'!E13&gt;=70000,'Val-Dép'!E13&lt;=71000 ),'Val-Dép'!W13,"0")</f>
        <v>#VALUE!</v>
      </c>
      <c r="U222" s="1235" t="s">
        <v>16</v>
      </c>
      <c r="W222" s="1081"/>
      <c r="X222" s="1534"/>
      <c r="Y222" s="1081">
        <v>54</v>
      </c>
      <c r="Z222" s="1481">
        <v>4510</v>
      </c>
      <c r="AA222" s="1162" t="s">
        <v>300</v>
      </c>
      <c r="AB222" s="1162"/>
      <c r="AD222" s="1535"/>
      <c r="AE222" s="1535"/>
      <c r="AF222" s="1535"/>
      <c r="AG222" s="1535"/>
      <c r="AH222" s="1535"/>
      <c r="AL222" s="1258"/>
      <c r="AM222" s="1258"/>
      <c r="AN222" s="1258"/>
      <c r="AO222" s="1258"/>
      <c r="AP222" s="1258"/>
      <c r="AQ222" s="1258"/>
      <c r="AR222" s="1258"/>
      <c r="AS222" s="1536"/>
      <c r="AT222" s="1258"/>
      <c r="AU222" s="1258"/>
      <c r="AV222" s="1258"/>
      <c r="AW222" s="1258"/>
      <c r="AX222" s="1258"/>
      <c r="AY222" s="1258"/>
      <c r="AZ222" s="1258"/>
      <c r="BA222" s="1258"/>
    </row>
    <row r="223" spans="2:53" ht="14.1" customHeight="1" x14ac:dyDescent="0.3">
      <c r="B223" s="1087">
        <v>35</v>
      </c>
      <c r="C223" s="1503">
        <f>IF(ISNA(VLOOKUP($D$252,'Val-Dép'!I35:AC35,11,FALSE)),,VLOOKUP($D$252,'Val-Dép'!I35:AC35,11,FALSE))</f>
        <v>0</v>
      </c>
      <c r="D223" s="1527" t="str">
        <f>IF(('Val-Dép'!I35="note de crédit"),VLOOKUP('Val-Dép'!I35,'Val-Dép'!I35:AC35,11,FALSE ),"")</f>
        <v/>
      </c>
      <c r="E223" s="1081"/>
      <c r="F223" s="1162"/>
      <c r="G223" s="1441" t="s">
        <v>354</v>
      </c>
      <c r="H223" s="1528" t="str">
        <f>IF(AND('Val-Dép'!E35&gt;=60000,'Val-Dép'!E35&lt;=61000 ),'Val-Dép'!Z35,"0")</f>
        <v>0</v>
      </c>
      <c r="I223" s="2743" t="str">
        <f>IF(('Val-Dép'!I35="note de crédit"),VLOOKUP('Val-Dép'!I35,'Val-Dép'!I35:AC44,16,FALSE ),"")</f>
        <v/>
      </c>
      <c r="J223" s="1081"/>
      <c r="M223" s="1529" t="e">
        <f>IF(OR('Val-Dép'!I13="note de crédit",'Val-Dép'!I13=""),VLOOKUP('Val-Dép'!I13,'Val-Dép'!I13:Y13,8,FALSE),"")</f>
        <v>#N/A</v>
      </c>
      <c r="N223" s="2637"/>
      <c r="O223" s="1541">
        <f>IF(AND('Val-Dép'!E14&gt;=70000, 'Val-Dép'!E14&lt;=71000 ),'Val-Dép'!P14,"0")</f>
        <v>0</v>
      </c>
      <c r="P223" s="1235" t="s">
        <v>17</v>
      </c>
      <c r="Q223" s="1531" t="str">
        <f>'Val-Dép'!I14</f>
        <v>Marchand-amball</v>
      </c>
      <c r="R223" s="1542"/>
      <c r="S223" s="1543" t="str">
        <f>IF(('Val-Dép'!I14="note de crédit"),VLOOKUP('Val-Dép'!I14,'Val-Dép'!I14:AC14,12,FALSE ),"")</f>
        <v/>
      </c>
      <c r="T223" s="1539">
        <f>IF(AND('Val-Dép'!E14&gt;=70000,'Val-Dép'!E14&lt;=71000 ),'Val-Dép'!W14,"0")</f>
        <v>0</v>
      </c>
      <c r="U223" s="1235" t="s">
        <v>17</v>
      </c>
      <c r="X223" s="1258"/>
      <c r="Y223" s="1499"/>
      <c r="Z223" s="1544"/>
      <c r="AA223" s="1516"/>
      <c r="AB223" s="1516"/>
      <c r="AC223" s="1535"/>
      <c r="AD223" s="1535"/>
      <c r="AE223" s="1535"/>
      <c r="AF223" s="1535"/>
      <c r="AG223" s="1535"/>
      <c r="AH223" s="1535"/>
      <c r="AI223" s="1535"/>
      <c r="AJ223" s="1535"/>
      <c r="AK223" s="1535"/>
      <c r="AL223" s="1258"/>
      <c r="AM223" s="1258"/>
      <c r="AN223" s="1258"/>
      <c r="AO223" s="1258"/>
      <c r="AP223" s="1258"/>
      <c r="AQ223" s="1258"/>
      <c r="AR223" s="1258"/>
      <c r="AS223" s="1536"/>
      <c r="AT223" s="1258"/>
      <c r="AU223" s="1258"/>
      <c r="AV223" s="1258"/>
      <c r="AW223" s="1258"/>
      <c r="AX223" s="1258"/>
      <c r="AY223" s="1258"/>
      <c r="AZ223" s="1258"/>
      <c r="BA223" s="1258"/>
    </row>
    <row r="224" spans="2:53" ht="14.1" customHeight="1" x14ac:dyDescent="0.3">
      <c r="B224" s="1087">
        <v>36</v>
      </c>
      <c r="C224" s="1512">
        <f>IF(ISNA(VLOOKUP($D$252,'Val-Dép'!I36:AC36,11,FALSE)),,VLOOKUP($D$252,'Val-Dép'!I36:AC36,11,FALSE))</f>
        <v>0</v>
      </c>
      <c r="D224" s="1537" t="str">
        <f>IF(('Val-Dép'!I36="note de crédit"),VLOOKUP('Val-Dép'!I36,'Val-Dép'!I36:AC36,11,FALSE ),"")</f>
        <v/>
      </c>
      <c r="E224" s="1538"/>
      <c r="F224" s="1162"/>
      <c r="G224" s="1443" t="s">
        <v>355</v>
      </c>
      <c r="H224" s="1539" t="str">
        <f>IF(AND('Val-Dép'!E36&gt;=60000,'Val-Dép'!E36&lt;=61000 ),'Val-Dép'!Z36,"0")</f>
        <v>0</v>
      </c>
      <c r="I224" s="2744" t="str">
        <f>IF(('Val-Dép'!I36="note de crédit"),VLOOKUP('Val-Dép'!I36,'Val-Dép'!I36:AC45,16,FALSE ),"")</f>
        <v/>
      </c>
      <c r="J224" s="1081"/>
      <c r="M224" s="1540" t="str">
        <f>IF(OR('Val-Dép'!I14="note de crédit",'Val-Dép'!I14=""),VLOOKUP('Val-Dép'!I14,'Val-Dép'!I14:Y14,8,FALSE),"")</f>
        <v/>
      </c>
      <c r="N224" s="2638"/>
      <c r="O224" s="1541">
        <f>IF(AND('Val-Dép'!E15&gt;=70000, 'Val-Dép'!E15&lt;=71000 ),'Val-Dép'!P15,"0")</f>
        <v>0</v>
      </c>
      <c r="P224" s="1235" t="s">
        <v>239</v>
      </c>
      <c r="Q224" s="1254" t="str">
        <f>'Val-Dép'!I15</f>
        <v>NUL</v>
      </c>
      <c r="R224" s="1542"/>
      <c r="S224" s="1543" t="str">
        <f>IF(('Val-Dép'!I15="note de crédit"),VLOOKUP('Val-Dép'!I15,'Val-Dép'!I15:AC15,12,FALSE ),"")</f>
        <v/>
      </c>
      <c r="T224" s="1539">
        <f>IF(AND('Val-Dép'!E15&gt;=70000,'Val-Dép'!E15&lt;=71000 ),'Val-Dép'!W15,"0")</f>
        <v>0</v>
      </c>
      <c r="U224" s="1235" t="s">
        <v>239</v>
      </c>
      <c r="X224" s="1258"/>
      <c r="Y224" s="1081">
        <v>63</v>
      </c>
      <c r="Z224" s="1544" t="s">
        <v>283</v>
      </c>
      <c r="AA224" s="1516" t="s">
        <v>302</v>
      </c>
      <c r="AB224" s="1516"/>
      <c r="AC224" s="1535"/>
      <c r="AD224" s="1535"/>
      <c r="AE224" s="1535"/>
      <c r="AF224" s="1535"/>
      <c r="AG224" s="1535"/>
      <c r="AH224" s="1535"/>
      <c r="AI224" s="1535"/>
      <c r="AJ224" s="1535"/>
      <c r="AK224" s="1535"/>
      <c r="AL224" s="1258"/>
      <c r="AM224" s="1258"/>
      <c r="AN224" s="1258"/>
      <c r="AO224" s="1258"/>
      <c r="AP224" s="1258"/>
      <c r="AQ224" s="1258"/>
      <c r="AR224" s="1258"/>
      <c r="AS224" s="1536"/>
      <c r="AT224" s="1258"/>
      <c r="AU224" s="1258"/>
      <c r="AV224" s="1258"/>
      <c r="AW224" s="1258"/>
      <c r="AX224" s="1258"/>
      <c r="AY224" s="1258"/>
      <c r="AZ224" s="1258"/>
      <c r="BA224" s="1258"/>
    </row>
    <row r="225" spans="2:53" ht="14.1" customHeight="1" x14ac:dyDescent="0.3">
      <c r="B225" s="1087">
        <v>37</v>
      </c>
      <c r="C225" s="1512">
        <f>IF(ISNA(VLOOKUP($D$252,'Val-Dép'!I37:AC37,11,FALSE)),,VLOOKUP($D$252,'Val-Dép'!I37:AC37,11,FALSE))</f>
        <v>0</v>
      </c>
      <c r="D225" s="1537" t="str">
        <f>IF(('Val-Dép'!I37="note de crédit"),VLOOKUP('Val-Dép'!I37,'Val-Dép'!I37:AC37,11,FALSE ),"")</f>
        <v/>
      </c>
      <c r="E225" s="1162"/>
      <c r="F225" s="1162"/>
      <c r="G225" s="1443" t="s">
        <v>356</v>
      </c>
      <c r="H225" s="1539" t="str">
        <f>IF(AND('Val-Dép'!E37&gt;=60000,'Val-Dép'!E37&lt;=61000 ),'Val-Dép'!Z37,"0")</f>
        <v>0</v>
      </c>
      <c r="I225" s="2744" t="str">
        <f>IF(('Val-Dép'!I37="note de crédit"),VLOOKUP('Val-Dép'!I37,'Val-Dép'!I37:AC46,16,FALSE ),"")</f>
        <v/>
      </c>
      <c r="J225" s="1081"/>
      <c r="M225" s="1540" t="str">
        <f>IF(OR('Val-Dép'!I15="note de crédit",'Val-Dép'!I15=""),VLOOKUP('Val-Dép'!I15,'Val-Dép'!I15:Y15,8,FALSE),"")</f>
        <v/>
      </c>
      <c r="N225" s="2638"/>
      <c r="O225" s="1541" t="str">
        <f>IF(AND('Val-Dép'!E16&gt;=70000, 'Val-Dép'!E16&lt;=71000 ),'Val-Dép'!P16,"0")</f>
        <v>0</v>
      </c>
      <c r="P225" s="1235" t="s">
        <v>240</v>
      </c>
      <c r="Q225" s="1254" t="str">
        <f>'Val-Dép'!I16</f>
        <v>NUL</v>
      </c>
      <c r="R225" s="1542"/>
      <c r="S225" s="1543" t="str">
        <f>IF(('Val-Dép'!I16="note de crédit"),VLOOKUP('Val-Dép'!I16,'Val-Dép'!I16:AC16,12,FALSE ),"")</f>
        <v/>
      </c>
      <c r="T225" s="1539" t="str">
        <f>IF(AND('Val-Dép'!E16&gt;=70000,'Val-Dép'!E16&lt;=71000 ),'Val-Dép'!W16,"0")</f>
        <v>0</v>
      </c>
      <c r="U225" s="1235" t="s">
        <v>240</v>
      </c>
      <c r="X225" s="1258"/>
      <c r="Y225" s="1499"/>
      <c r="Z225" s="1544"/>
      <c r="AA225" s="1516"/>
      <c r="AB225" s="1516"/>
      <c r="AC225" s="1535"/>
      <c r="AD225" s="1535"/>
      <c r="AE225" s="1535"/>
      <c r="AF225" s="1535"/>
      <c r="AG225" s="1535"/>
      <c r="AH225" s="1535"/>
      <c r="AI225" s="1535"/>
      <c r="AJ225" s="1535"/>
      <c r="AK225" s="1535"/>
      <c r="AL225" s="1258"/>
      <c r="AM225" s="1258"/>
      <c r="AN225" s="1258"/>
      <c r="AO225" s="1258"/>
      <c r="AP225" s="1258"/>
      <c r="AQ225" s="1258"/>
      <c r="AR225" s="1258"/>
      <c r="AS225" s="1536"/>
      <c r="AT225" s="1258"/>
      <c r="AU225" s="1258"/>
      <c r="AV225" s="1258"/>
      <c r="AW225" s="1258"/>
      <c r="AX225" s="1258"/>
      <c r="AY225" s="1258"/>
      <c r="AZ225" s="1258"/>
      <c r="BA225" s="1258"/>
    </row>
    <row r="226" spans="2:53" ht="14.1" customHeight="1" x14ac:dyDescent="0.3">
      <c r="B226" s="1087">
        <v>38</v>
      </c>
      <c r="C226" s="1512">
        <f>IF(ISNA(VLOOKUP($D$252,'Val-Dép'!I38:AC38,11,FALSE)),,VLOOKUP($D$252,'Val-Dép'!I38:AC38,11,FALSE))</f>
        <v>0</v>
      </c>
      <c r="D226" s="1537" t="str">
        <f>IF(('Val-Dép'!I38="note de crédit"),VLOOKUP('Val-Dép'!I38,'Val-Dép'!I38:AC38,11,FALSE ),"")</f>
        <v/>
      </c>
      <c r="E226" s="1545"/>
      <c r="F226" s="1162"/>
      <c r="G226" s="1443" t="s">
        <v>357</v>
      </c>
      <c r="H226" s="1539" t="str">
        <f>IF(AND('Val-Dép'!E38&gt;=60000,'Val-Dép'!E38&lt;=61000 ),'Val-Dép'!Z38,"0")</f>
        <v>0</v>
      </c>
      <c r="I226" s="2744" t="str">
        <f>IF(('Val-Dép'!I38="note de crédit"),VLOOKUP('Val-Dép'!I38,'Val-Dép'!I38:AC47,16,FALSE ),"")</f>
        <v/>
      </c>
      <c r="J226" s="1081"/>
      <c r="M226" s="1540" t="str">
        <f>IF(OR('Val-Dép'!I16="note de crédit",'Val-Dép'!I16=""),VLOOKUP('Val-Dép'!I16,'Val-Dép'!I16:Y16,8,FALSE),"")</f>
        <v/>
      </c>
      <c r="N226" s="2638"/>
      <c r="O226" s="1541" t="str">
        <f>IF(AND('Val-Dép'!E17&gt;=70000, 'Val-Dép'!E17&lt;=71000 ),'Val-Dép'!P17,"0")</f>
        <v>0</v>
      </c>
      <c r="P226" s="1235" t="s">
        <v>241</v>
      </c>
      <c r="Q226" s="1531" t="str">
        <f>'Val-Dép'!I18</f>
        <v>NUL</v>
      </c>
      <c r="R226" s="1547"/>
      <c r="S226" s="1543" t="str">
        <f>IF(('Val-Dép'!I17="note de crédit"),VLOOKUP('Val-Dép'!I17,'Val-Dép'!I17:AC17,12,FALSE ),"")</f>
        <v/>
      </c>
      <c r="T226" s="1539" t="str">
        <f>IF(AND('Val-Dép'!E17&gt;=70000,'Val-Dép'!E17&lt;=71000 ),'Val-Dép'!W17,"0")</f>
        <v>0</v>
      </c>
      <c r="U226" s="1235" t="s">
        <v>241</v>
      </c>
      <c r="X226" s="1258"/>
      <c r="Y226" s="1499">
        <v>86</v>
      </c>
      <c r="Z226" s="1544"/>
      <c r="AA226" s="1516" t="s">
        <v>301</v>
      </c>
      <c r="AB226" s="1516"/>
      <c r="AC226" s="1535"/>
      <c r="AD226" s="1535"/>
      <c r="AE226" s="1535"/>
      <c r="AF226" s="1535"/>
      <c r="AG226" s="1535"/>
      <c r="AH226" s="1535"/>
      <c r="AI226" s="1535"/>
      <c r="AJ226" s="1535"/>
      <c r="AK226" s="1535"/>
      <c r="AL226" s="1258"/>
      <c r="AM226" s="1258"/>
      <c r="AN226" s="1258"/>
      <c r="AO226" s="1258"/>
      <c r="AP226" s="1258"/>
      <c r="AQ226" s="1258"/>
      <c r="AR226" s="1258"/>
      <c r="AS226" s="1536"/>
      <c r="AT226" s="1258"/>
      <c r="AU226" s="1258"/>
      <c r="AV226" s="1258"/>
      <c r="AW226" s="1258"/>
      <c r="AX226" s="1258"/>
      <c r="AY226" s="1258"/>
      <c r="AZ226" s="1258"/>
      <c r="BA226" s="1258"/>
    </row>
    <row r="227" spans="2:53" ht="14.1" customHeight="1" x14ac:dyDescent="0.3">
      <c r="B227" s="1087">
        <v>39</v>
      </c>
      <c r="C227" s="1512">
        <f>IF(ISNA(VLOOKUP($D$252,'Val-Dép'!I39:AC39,11,FALSE)),,VLOOKUP($D$252,'Val-Dép'!I39:AC39,11,FALSE))</f>
        <v>0</v>
      </c>
      <c r="D227" s="1537" t="str">
        <f>IF(('Val-Dép'!I39="note de crédit"),VLOOKUP('Val-Dép'!I39,'Val-Dép'!I39:AC39,11,FALSE ),"")</f>
        <v/>
      </c>
      <c r="E227" s="1470"/>
      <c r="F227" s="1081"/>
      <c r="G227" s="1443" t="s">
        <v>358</v>
      </c>
      <c r="H227" s="1539" t="str">
        <f>IF(AND('Val-Dép'!E39&gt;=60000,'Val-Dép'!E39&lt;=61000 ),'Val-Dép'!Z39,"0")</f>
        <v>0</v>
      </c>
      <c r="I227" s="2744" t="str">
        <f>IF(('Val-Dép'!I39="note de crédit"),VLOOKUP('Val-Dép'!I39,'Val-Dép'!I39:AC48,16,FALSE ),"")</f>
        <v/>
      </c>
      <c r="J227" s="1081"/>
      <c r="M227" s="1540" t="str">
        <f>IF(OR('Val-Dép'!I17="note de crédit",'Val-Dép'!I17=""),VLOOKUP('Val-Dép'!I17,'Val-Dép'!I17:Y17,8,FALSE),"")</f>
        <v/>
      </c>
      <c r="N227" s="2638"/>
      <c r="O227" s="1541" t="str">
        <f>IF(AND('Val-Dép'!E18&gt;=70000, 'Val-Dép'!E18&lt;=71000 ),'Val-Dép'!P18,"0")</f>
        <v>0</v>
      </c>
      <c r="P227" s="1235" t="s">
        <v>242</v>
      </c>
      <c r="Q227" s="1531" t="str">
        <f>'Val-Dép'!I19</f>
        <v>NUL</v>
      </c>
      <c r="R227" s="1548"/>
      <c r="S227" s="1543" t="str">
        <f>IF(('Val-Dép'!I18="note de crédit"),VLOOKUP('Val-Dép'!I18,'Val-Dép'!I18:AC18,12,FALSE ),"")</f>
        <v/>
      </c>
      <c r="T227" s="1539" t="str">
        <f>IF(AND('Val-Dép'!E18&gt;=70000,'Val-Dép'!E18&lt;=71000 ),'Val-Dép'!W18,"0")</f>
        <v>0</v>
      </c>
      <c r="U227" s="1235" t="s">
        <v>242</v>
      </c>
      <c r="X227" s="1258"/>
      <c r="Y227" s="1499"/>
      <c r="Z227" s="1544"/>
      <c r="AA227" s="1516"/>
      <c r="AB227" s="1516"/>
      <c r="AC227" s="1535"/>
      <c r="AD227" s="1535"/>
      <c r="AE227" s="1535"/>
      <c r="AF227" s="1535"/>
      <c r="AG227" s="1535"/>
      <c r="AH227" s="1535"/>
      <c r="AI227" s="1535"/>
      <c r="AJ227" s="1535"/>
      <c r="AK227" s="1535"/>
      <c r="AL227" s="1258"/>
      <c r="AM227" s="1258"/>
      <c r="AN227" s="1258"/>
      <c r="AO227" s="1258"/>
      <c r="AP227" s="1258"/>
      <c r="AQ227" s="1258"/>
      <c r="AR227" s="1258"/>
      <c r="AS227" s="1536"/>
      <c r="AT227" s="1258"/>
      <c r="AU227" s="1258"/>
      <c r="AV227" s="1258"/>
      <c r="AW227" s="1258"/>
      <c r="AX227" s="1258"/>
      <c r="AY227" s="1258"/>
      <c r="AZ227" s="1258"/>
      <c r="BA227" s="1258"/>
    </row>
    <row r="228" spans="2:53" ht="14.1" customHeight="1" x14ac:dyDescent="0.3">
      <c r="B228" s="1087">
        <v>40</v>
      </c>
      <c r="C228" s="1512">
        <f>IF(ISNA(VLOOKUP($D$252,'Val-Dép'!I40:AC40,11,FALSE)),,VLOOKUP($D$252,'Val-Dép'!I40:AC40,11,FALSE))</f>
        <v>0</v>
      </c>
      <c r="D228" s="1537" t="str">
        <f>IF(('Val-Dép'!I40="note de crédit"),VLOOKUP('Val-Dép'!I40,'Val-Dép'!I40:AC40,11,FALSE ),"")</f>
        <v/>
      </c>
      <c r="E228" s="1162" t="s">
        <v>249</v>
      </c>
      <c r="F228" s="1081"/>
      <c r="G228" s="1443" t="s">
        <v>359</v>
      </c>
      <c r="H228" s="1539" t="str">
        <f>IF(AND('Val-Dép'!E40&gt;=60000,'Val-Dép'!E40&lt;=61000 ),'Val-Dép'!Z40,"0")</f>
        <v>0</v>
      </c>
      <c r="I228" s="2744" t="str">
        <f>IF(('Val-Dép'!I40="note de crédit"),VLOOKUP('Val-Dép'!I40,'Val-Dép'!I40:AC49,16,FALSE ),"")</f>
        <v/>
      </c>
      <c r="J228" s="1081" t="s">
        <v>249</v>
      </c>
      <c r="M228" s="1540" t="str">
        <f>IF(OR('Val-Dép'!I18="note de crédit",'Val-Dép'!I18=""),VLOOKUP('Val-Dép'!I18,'Val-Dép'!I18:Y18,8,FALSE),"")</f>
        <v/>
      </c>
      <c r="N228" s="2638"/>
      <c r="O228" s="1541" t="str">
        <f>IF(AND('Val-Dép'!E19&gt;=70000, 'Val-Dép'!E19&lt;=71000 ),'Val-Dép'!P19,"0")</f>
        <v>0</v>
      </c>
      <c r="P228" s="1235" t="s">
        <v>243</v>
      </c>
      <c r="Q228" s="1531" t="str">
        <f>'Val-Dép'!I19</f>
        <v>NUL</v>
      </c>
      <c r="R228" s="1548"/>
      <c r="S228" s="1543" t="str">
        <f>IF(('Val-Dép'!I19="note de crédit"),VLOOKUP('Val-Dép'!I19,'Val-Dép'!I19:AC19,12,FALSE ),"")</f>
        <v/>
      </c>
      <c r="T228" s="1539" t="str">
        <f>IF(AND('Val-Dép'!E19&gt;=70000,'Val-Dép'!E19&lt;=71000 ),'Val-Dép'!W19,"0")</f>
        <v>0</v>
      </c>
      <c r="U228" s="1235" t="s">
        <v>243</v>
      </c>
      <c r="X228" s="1258"/>
      <c r="Y228" s="1499">
        <v>88</v>
      </c>
      <c r="Z228" s="1544"/>
      <c r="AA228" s="1516" t="s">
        <v>303</v>
      </c>
      <c r="AB228" s="1516"/>
      <c r="AC228" s="1535"/>
      <c r="AD228" s="1535"/>
      <c r="AE228" s="1535"/>
      <c r="AF228" s="1535"/>
      <c r="AG228" s="1535"/>
      <c r="AH228" s="1535"/>
      <c r="AI228" s="1535"/>
      <c r="AJ228" s="1535"/>
      <c r="AK228" s="1535"/>
      <c r="AL228" s="1258"/>
      <c r="AM228" s="1258"/>
      <c r="AN228" s="1258"/>
      <c r="AO228" s="1258"/>
      <c r="AP228" s="1258"/>
      <c r="AQ228" s="1258"/>
      <c r="AR228" s="1258"/>
      <c r="AS228" s="1536"/>
      <c r="AT228" s="1258"/>
      <c r="AU228" s="1258"/>
      <c r="AV228" s="1258"/>
      <c r="AW228" s="1258"/>
      <c r="AX228" s="1258"/>
      <c r="AY228" s="1258"/>
      <c r="AZ228" s="1258"/>
      <c r="BA228" s="1258"/>
    </row>
    <row r="229" spans="2:53" ht="14.1" customHeight="1" thickBot="1" x14ac:dyDescent="0.35">
      <c r="C229" s="1512"/>
      <c r="D229" s="1537" t="str">
        <f>IF(('Val-Dép'!I41="note de crédit"),VLOOKUP('Val-Dép'!I41,'Val-Dép'!I41:AC41,11,FALSE ),"")</f>
        <v/>
      </c>
      <c r="E229" s="1162"/>
      <c r="F229" s="1081"/>
      <c r="G229" s="1443" t="s">
        <v>360</v>
      </c>
      <c r="H229" s="1539" t="str">
        <f>IF(AND('Val-Dép'!E41&gt;=60000,'Val-Dép'!E41&lt;=61000 ),'Val-Dép'!Z41,"0")</f>
        <v>0</v>
      </c>
      <c r="I229" s="2744" t="str">
        <f>IF(('Val-Dép'!I41="note de crédit"),VLOOKUP('Val-Dép'!I41,'Val-Dép'!I41:AC50,16,FALSE ),"")</f>
        <v/>
      </c>
      <c r="J229" s="1081"/>
      <c r="K229" s="1369"/>
      <c r="M229" s="1540" t="str">
        <f>IF(OR('Val-Dép'!I19="note de crédit",'Val-Dép'!I19=""),VLOOKUP('Val-Dép'!I19,'Val-Dép'!I19:Y19,8,FALSE),"")</f>
        <v/>
      </c>
      <c r="N229" s="2638"/>
      <c r="O229" s="1541" t="str">
        <f>IF(AND('Val-Dép'!E20&gt;=70000, 'Val-Dép'!E20&lt;=71000 ),'Val-Dép'!P20,"0")</f>
        <v>0</v>
      </c>
      <c r="P229" s="1235" t="s">
        <v>244</v>
      </c>
      <c r="Q229" s="1531" t="str">
        <f>'Val-Dép'!I20</f>
        <v>NUL</v>
      </c>
      <c r="R229" s="1548"/>
      <c r="S229" s="1543" t="str">
        <f>IF(('Val-Dép'!I20="note de crédit"),VLOOKUP('Val-Dép'!I20,'Val-Dép'!I20:AC20,12,FALSE ),"")</f>
        <v/>
      </c>
      <c r="T229" s="1539" t="str">
        <f>IF(AND('Val-Dép'!E20&gt;=70000,'Val-Dép'!E20&lt;=71000 ),'Val-Dép'!W20,"0")</f>
        <v>0</v>
      </c>
      <c r="U229" s="1235" t="s">
        <v>244</v>
      </c>
      <c r="X229" s="1258"/>
      <c r="Y229" s="1499"/>
      <c r="Z229" s="1544"/>
      <c r="AA229" s="1516"/>
      <c r="AB229" s="1516"/>
      <c r="AC229" s="1535"/>
      <c r="AD229" s="1535"/>
      <c r="AE229" s="1535"/>
      <c r="AF229" s="1535"/>
      <c r="AG229" s="1535"/>
      <c r="AH229" s="1535"/>
      <c r="AI229" s="1535"/>
      <c r="AJ229" s="1535"/>
      <c r="AK229" s="1535"/>
      <c r="AL229" s="1258"/>
      <c r="AM229" s="1258"/>
      <c r="AN229" s="1258"/>
      <c r="AO229" s="1258"/>
      <c r="AP229" s="1258"/>
      <c r="AQ229" s="1258"/>
      <c r="AR229" s="1258"/>
      <c r="AS229" s="1536"/>
      <c r="AT229" s="1258"/>
      <c r="AU229" s="1258"/>
      <c r="AV229" s="1258"/>
      <c r="AW229" s="1258"/>
      <c r="AX229" s="1258"/>
      <c r="AY229" s="1258"/>
      <c r="AZ229" s="1258"/>
      <c r="BA229" s="1258"/>
    </row>
    <row r="230" spans="2:53" ht="14.1" customHeight="1" x14ac:dyDescent="0.3">
      <c r="C230" s="1512"/>
      <c r="D230" s="1537" t="str">
        <f>IF(('Val-Dép'!I42="note de crédit"),VLOOKUP('Val-Dép'!I42,'Val-Dép'!I42:AC42,11,FALSE ),"")</f>
        <v/>
      </c>
      <c r="E230" s="1162"/>
      <c r="F230" s="1081"/>
      <c r="G230" s="1443" t="s">
        <v>361</v>
      </c>
      <c r="H230" s="1539" t="str">
        <f>IF(AND('Val-Dép'!E42&gt;=60000,'Val-Dép'!E42&lt;=61000 ),'Val-Dép'!Z42,"0")</f>
        <v>0</v>
      </c>
      <c r="I230" s="2744" t="str">
        <f>IF(('Val-Dép'!I42="note de crédit"),VLOOKUP('Val-Dép'!I42,'Val-Dép'!I42:AC51,16,FALSE ),"")</f>
        <v/>
      </c>
      <c r="J230" s="1081"/>
      <c r="M230" s="1540" t="str">
        <f>IF(OR('Val-Dép'!I20="note de crédit",'Val-Dép'!I20=""),VLOOKUP('Val-Dép'!I20,'Val-Dép'!I20:Y20,8,FALSE),"")</f>
        <v/>
      </c>
      <c r="N230" s="2638"/>
      <c r="O230" s="1541" t="str">
        <f>IF(AND('Val-Dép'!E21&gt;=70000, 'Val-Dép'!E21&lt;=71000 ),'Val-Dép'!P21,"0")</f>
        <v>0</v>
      </c>
      <c r="P230" s="1235" t="s">
        <v>245</v>
      </c>
      <c r="Q230" s="1531" t="str">
        <f>'Val-Dép'!I21</f>
        <v>NUL</v>
      </c>
      <c r="R230" s="1548"/>
      <c r="S230" s="1543" t="str">
        <f>IF(('Val-Dép'!I21="note de crédit"),VLOOKUP('Val-Dép'!I21,'Val-Dép'!I21:AC21,12,FALSE ),"")</f>
        <v/>
      </c>
      <c r="T230" s="1539" t="str">
        <f>IF(AND('Val-Dép'!E21&gt;=70000,'Val-Dép'!E21&lt;=71000 ),'Val-Dép'!W21,"0")</f>
        <v>0</v>
      </c>
      <c r="U230" s="1235" t="s">
        <v>245</v>
      </c>
      <c r="X230" s="1258"/>
      <c r="Y230" s="1499">
        <v>57</v>
      </c>
      <c r="Z230" s="1544"/>
      <c r="AA230" s="1516" t="s">
        <v>304</v>
      </c>
      <c r="AB230" s="1516"/>
      <c r="AC230" s="1535"/>
      <c r="AD230" s="1535"/>
      <c r="AE230" s="1535"/>
      <c r="AF230" s="1535"/>
      <c r="AG230" s="1535"/>
      <c r="AH230" s="1535"/>
      <c r="AI230" s="1535"/>
      <c r="AJ230" s="1535"/>
      <c r="AK230" s="1535"/>
      <c r="AL230" s="1258"/>
      <c r="AM230" s="1258"/>
      <c r="AN230" s="1258"/>
      <c r="AO230" s="1258"/>
      <c r="AP230" s="1258"/>
      <c r="AQ230" s="1258"/>
      <c r="AR230" s="1258"/>
      <c r="AS230" s="1536"/>
      <c r="AT230" s="1258"/>
      <c r="AU230" s="1258"/>
      <c r="AV230" s="1258"/>
      <c r="AW230" s="1258"/>
      <c r="AX230" s="1258"/>
      <c r="AY230" s="1258"/>
      <c r="AZ230" s="1258"/>
      <c r="BA230" s="1258"/>
    </row>
    <row r="231" spans="2:53" ht="14.1" customHeight="1" x14ac:dyDescent="0.3">
      <c r="B231" s="1087">
        <v>44</v>
      </c>
      <c r="C231" s="1512">
        <f>IF(ISNA(VLOOKUP($D$252,'Val-Dép'!I44:AC44,11,FALSE)),,VLOOKUP($D$252,'Val-Dép'!I44:AC44,11,FALSE))</f>
        <v>0</v>
      </c>
      <c r="D231" s="1537" t="str">
        <f>IF(('Val-Dép'!I43="note de crédit"),VLOOKUP('Val-Dép'!I43,'Val-Dép'!I43:AC43,11,FALSE ),"")</f>
        <v/>
      </c>
      <c r="E231" s="1162"/>
      <c r="F231" s="1081"/>
      <c r="G231" s="1443" t="s">
        <v>362</v>
      </c>
      <c r="H231" s="1539" t="str">
        <f>IF(AND('Val-Dép'!E43&gt;=60000,'Val-Dép'!E43&lt;=61000 ),'Val-Dép'!Z43,"0")</f>
        <v>0</v>
      </c>
      <c r="I231" s="2744" t="str">
        <f>IF(('Val-Dép'!I43="note de crédit"),VLOOKUP('Val-Dép'!I43,'Val-Dép'!I43:AC51,16,FALSE ),"")</f>
        <v/>
      </c>
      <c r="J231" s="1081"/>
      <c r="K231" s="1397"/>
      <c r="M231" s="1540" t="str">
        <f>IF(OR('Val-Dép'!I21="note de crédit",'Val-Dép'!I21=""),VLOOKUP('Val-Dép'!I21,'Val-Dép'!I21:Y21,8,FALSE),"")</f>
        <v/>
      </c>
      <c r="N231" s="2638"/>
      <c r="O231" s="1541" t="str">
        <f>IF(AND('Val-Dép'!E22&gt;=70000, 'Val-Dép'!E22&lt;=71000 ),'Val-Dép'!P22,"0")</f>
        <v>0</v>
      </c>
      <c r="P231" s="1235" t="s">
        <v>277</v>
      </c>
      <c r="Q231" s="1531" t="str">
        <f>'Val-Dép'!I22</f>
        <v>NUL</v>
      </c>
      <c r="R231" s="1548"/>
      <c r="S231" s="1543" t="str">
        <f>IF(('Val-Dép'!I22="note de crédit"),VLOOKUP('Val-Dép'!I22,'Val-Dép'!I22:AC22,12,FALSE ),"")</f>
        <v/>
      </c>
      <c r="T231" s="1539" t="str">
        <f>IF(AND('Val-Dép'!E22&gt;=70000,'Val-Dép'!E22&lt;=71000 ),'Val-Dép'!W22,"0")</f>
        <v>0</v>
      </c>
      <c r="U231" s="1235" t="s">
        <v>277</v>
      </c>
      <c r="X231" s="1258"/>
      <c r="Y231" s="1499"/>
      <c r="Z231" s="1544"/>
      <c r="AA231" s="1516"/>
      <c r="AB231" s="1516"/>
      <c r="AC231" s="1535"/>
      <c r="AD231" s="1535"/>
      <c r="AE231" s="1535"/>
      <c r="AF231" s="1535"/>
      <c r="AG231" s="1535"/>
      <c r="AH231" s="1535"/>
      <c r="AI231" s="1535"/>
      <c r="AJ231" s="1535"/>
      <c r="AK231" s="1535"/>
      <c r="AL231" s="1258"/>
      <c r="AM231" s="1258"/>
      <c r="AN231" s="1258"/>
      <c r="AO231" s="1258"/>
      <c r="AP231" s="1258"/>
      <c r="AQ231" s="1258"/>
      <c r="AR231" s="1258"/>
      <c r="AS231" s="1536"/>
      <c r="AT231" s="1258"/>
      <c r="AU231" s="1258"/>
      <c r="AV231" s="1258"/>
      <c r="AW231" s="1258"/>
      <c r="AX231" s="1258"/>
      <c r="AY231" s="1258"/>
      <c r="AZ231" s="1258"/>
      <c r="BA231" s="1258"/>
    </row>
    <row r="232" spans="2:53" ht="14.1" customHeight="1" thickBot="1" x14ac:dyDescent="0.35">
      <c r="B232" s="1087">
        <v>45</v>
      </c>
      <c r="C232" s="1546">
        <f>IF(ISNA(VLOOKUP($D$252,'Val-Dép'!I45:AC45,11,FALSE)),,VLOOKUP($D$252,'Val-Dép'!I45:AC45,11,FALSE))</f>
        <v>0</v>
      </c>
      <c r="D232" s="1549" t="str">
        <f>IF(('Val-Dép'!I44="note de crédit"),VLOOKUP('Val-Dép'!I44,'Val-Dép'!I44:AC44,11,FALSE ),"")</f>
        <v/>
      </c>
      <c r="E232" s="1550"/>
      <c r="F232" s="1081"/>
      <c r="G232" s="1450" t="s">
        <v>55</v>
      </c>
      <c r="H232" s="1551" t="str">
        <f>IF(AND('Val-Dép'!E44&gt;=60000,'Val-Dép'!E44&lt;=61000 ),'Val-Dép'!Z44,"0")</f>
        <v>0</v>
      </c>
      <c r="I232" s="2745" t="str">
        <f>IF(('Val-Dép'!I44="note de crédit"),VLOOKUP('Val-Dép'!I44,'Val-Dép'!I44:AC51,16,FALSE ),"")</f>
        <v/>
      </c>
      <c r="J232" s="1081"/>
      <c r="K232" s="1397"/>
      <c r="M232" s="1540" t="str">
        <f>IF(OR('Val-Dép'!I22="note de crédit",'Val-Dép'!I22=""),VLOOKUP('Val-Dép'!I22,'Val-Dép'!I22:Y22,8,FALSE),"")</f>
        <v/>
      </c>
      <c r="N232" s="2638"/>
      <c r="O232" s="1541" t="str">
        <f>IF(AND('Val-Dép'!E23&gt;=70000, 'Val-Dép'!E23&lt;=71000 ),'Val-Dép'!P23,"0")</f>
        <v>0</v>
      </c>
      <c r="P232" s="1235" t="s">
        <v>246</v>
      </c>
      <c r="Q232" s="1531" t="str">
        <f>'Val-Dép'!I23</f>
        <v>NUL</v>
      </c>
      <c r="R232" s="1548"/>
      <c r="S232" s="1543" t="str">
        <f>IF(('Val-Dép'!I23="note de crédit"),VLOOKUP('Val-Dép'!I23,'Val-Dép'!I23:AC23,12,FALSE ),"")</f>
        <v/>
      </c>
      <c r="T232" s="1539" t="str">
        <f>IF(AND('Val-Dép'!E23&gt;=70000,'Val-Dép'!E23&lt;=71000 ),'Val-Dép'!W23,"0")</f>
        <v>0</v>
      </c>
      <c r="U232" s="1235" t="s">
        <v>246</v>
      </c>
      <c r="X232" s="1258"/>
      <c r="Y232" s="1499">
        <v>71</v>
      </c>
      <c r="Z232" s="1544" t="s">
        <v>305</v>
      </c>
      <c r="AA232" s="1516" t="s">
        <v>298</v>
      </c>
      <c r="AB232" s="1516"/>
      <c r="AC232" s="1535"/>
      <c r="AD232" s="1535"/>
      <c r="AE232" s="1535"/>
      <c r="AF232" s="1535"/>
      <c r="AG232" s="1535"/>
      <c r="AH232" s="1535"/>
      <c r="AI232" s="1535"/>
      <c r="AJ232" s="1535"/>
      <c r="AK232" s="1535"/>
      <c r="AL232" s="1258"/>
      <c r="AM232" s="1258"/>
      <c r="AN232" s="1258"/>
      <c r="AO232" s="1258"/>
      <c r="AP232" s="1258"/>
      <c r="AQ232" s="1258"/>
      <c r="AR232" s="1258"/>
      <c r="AS232" s="1536"/>
      <c r="AT232" s="1258"/>
      <c r="AU232" s="1258"/>
      <c r="AV232" s="1258"/>
      <c r="AW232" s="1258"/>
      <c r="AX232" s="1258"/>
      <c r="AY232" s="1258"/>
      <c r="AZ232" s="1258"/>
      <c r="BA232" s="1258"/>
    </row>
    <row r="233" spans="2:53" ht="14.1" customHeight="1" thickBot="1" x14ac:dyDescent="0.35">
      <c r="B233" s="1535"/>
      <c r="C233" s="1535"/>
      <c r="D233" s="1170">
        <f>SUM(D223:D232)</f>
        <v>0</v>
      </c>
      <c r="E233" s="1162"/>
      <c r="F233" s="1081"/>
      <c r="G233" s="1235"/>
      <c r="H233" s="1452">
        <f>SUM(H223:H232)</f>
        <v>0</v>
      </c>
      <c r="I233" s="2746">
        <f>SUM(I223:I232)</f>
        <v>0</v>
      </c>
      <c r="J233" s="1081"/>
      <c r="K233" s="1401"/>
      <c r="M233" s="1540" t="str">
        <f>IF(OR('Val-Dép'!I23="note de crédit",'Val-Dép'!I23=""),VLOOKUP('Val-Dép'!I23,'Val-Dép'!I23:Y23,8,FALSE),"")</f>
        <v/>
      </c>
      <c r="N233" s="2638"/>
      <c r="O233" s="1554" t="str">
        <f>IF(AND('Val-Dép'!E24&gt;=70000, 'Val-Dép'!E24&lt;=71000 ),'Val-Dép'!P24,"0")</f>
        <v>0</v>
      </c>
      <c r="P233" s="1235"/>
      <c r="Q233" s="1531"/>
      <c r="R233" s="1555"/>
      <c r="S233" s="1556" t="str">
        <f>IF(('Val-Dép'!I24="note de crédit"),VLOOKUP('Val-Dép'!I24,'Val-Dép'!I24:AC24,12,FALSE ),"")</f>
        <v/>
      </c>
      <c r="T233" s="1557" t="str">
        <f>IF(AND('Val-Dép'!E24&gt;=70000,'Val-Dép'!E24&lt;=71000 ),'Val-Dép'!W24,"0")</f>
        <v>0</v>
      </c>
      <c r="U233" s="1558"/>
      <c r="X233" s="1258"/>
      <c r="Y233" s="1535"/>
      <c r="Z233" s="1535"/>
      <c r="AA233" s="1535"/>
      <c r="AB233" s="1535"/>
      <c r="AC233" s="1535"/>
      <c r="AI233" s="1535"/>
      <c r="AJ233" s="1535"/>
      <c r="AK233" s="1535"/>
      <c r="AL233" s="1258"/>
      <c r="AM233" s="1258"/>
      <c r="AN233" s="1126"/>
      <c r="AO233" s="1258"/>
      <c r="AP233" s="1258"/>
      <c r="AQ233" s="1258"/>
      <c r="AR233" s="1258"/>
      <c r="AS233" s="1126"/>
      <c r="AT233" s="1258"/>
      <c r="AU233" s="1258"/>
      <c r="AV233" s="1258"/>
      <c r="AW233" s="1258"/>
      <c r="AX233" s="1258"/>
      <c r="AY233" s="1258"/>
      <c r="AZ233" s="1258"/>
      <c r="BA233" s="1258"/>
    </row>
    <row r="234" spans="2:53" ht="14.1" customHeight="1" thickTop="1" thickBot="1" x14ac:dyDescent="0.35">
      <c r="B234" s="1535"/>
      <c r="C234" s="1535"/>
      <c r="D234" s="1170"/>
      <c r="E234" s="1162"/>
      <c r="F234" s="1081"/>
      <c r="G234" s="1235"/>
      <c r="H234" s="1453"/>
      <c r="I234" s="2746"/>
      <c r="J234" s="1081"/>
      <c r="K234" s="1402"/>
      <c r="M234" s="1553" t="str">
        <f>IF(OR('Val-Dép'!I24="note de crédit",'Val-Dép'!I24=""),VLOOKUP('Val-Dép'!I24,'Val-Dép'!I24:Y24,8,FALSE),"")</f>
        <v/>
      </c>
      <c r="N234" s="2639"/>
      <c r="O234" s="1561" t="e">
        <f>SUM(O222:O233)</f>
        <v>#VALUE!</v>
      </c>
      <c r="P234" s="1172"/>
      <c r="Q234" s="1081"/>
      <c r="R234" s="1562"/>
      <c r="S234" s="1563">
        <f>SUM(S222:S233)</f>
        <v>0</v>
      </c>
      <c r="T234" s="1564" t="e">
        <f>SUM(T222:T233)</f>
        <v>#VALUE!</v>
      </c>
      <c r="U234" s="1565"/>
      <c r="Z234" s="1081"/>
      <c r="AA234" s="1081"/>
      <c r="AB234" s="1081"/>
      <c r="AC234" s="1081"/>
      <c r="AD234" s="1566"/>
      <c r="AE234" s="1566"/>
      <c r="AF234" s="1566"/>
      <c r="AG234" s="1566"/>
      <c r="AH234" s="1566"/>
    </row>
    <row r="235" spans="2:53" ht="14.1" customHeight="1" thickBot="1" x14ac:dyDescent="0.35">
      <c r="B235" s="1535"/>
      <c r="C235" s="1535"/>
      <c r="D235" s="1162">
        <f>SUM(D227:D230)</f>
        <v>0</v>
      </c>
      <c r="E235" s="1162"/>
      <c r="F235" s="1081"/>
      <c r="G235" s="1081"/>
      <c r="H235" s="1559">
        <f>H233-I233</f>
        <v>0</v>
      </c>
      <c r="I235" s="2710">
        <f>SUM(I222:I228)</f>
        <v>0</v>
      </c>
      <c r="J235" s="1081"/>
      <c r="L235" s="1162"/>
      <c r="M235" s="1560">
        <f>SUM(M227:M228)</f>
        <v>0</v>
      </c>
      <c r="N235" s="1172"/>
      <c r="O235" s="1568" t="e">
        <f>O234-M235</f>
        <v>#VALUE!</v>
      </c>
      <c r="P235" s="1162" t="s">
        <v>189</v>
      </c>
      <c r="Q235" s="1081"/>
      <c r="R235" s="1162"/>
      <c r="S235" s="1393"/>
      <c r="T235" s="1569" t="e">
        <f>T234-S234</f>
        <v>#VALUE!</v>
      </c>
      <c r="U235" s="1570" t="s">
        <v>189</v>
      </c>
      <c r="AA235" s="1571"/>
      <c r="AB235" s="1571"/>
      <c r="AC235" s="1572">
        <v>4510</v>
      </c>
      <c r="AD235" s="1499"/>
      <c r="AE235" s="4200" t="s">
        <v>13</v>
      </c>
      <c r="AF235" s="4201"/>
      <c r="AG235" s="4201"/>
      <c r="AH235" s="4201"/>
      <c r="AI235" s="1566">
        <f>'Val-Dép'!W26</f>
        <v>0</v>
      </c>
      <c r="AJ235" s="1566"/>
      <c r="AK235" s="1566"/>
    </row>
    <row r="236" spans="2:53" ht="14.1" customHeight="1" x14ac:dyDescent="0.3">
      <c r="C236" s="1162"/>
      <c r="D236" s="1081"/>
      <c r="E236" s="1162"/>
      <c r="F236" s="1081"/>
      <c r="G236" s="1081"/>
      <c r="H236" s="1081"/>
      <c r="I236" s="2706"/>
      <c r="J236" s="1081"/>
      <c r="L236" s="1567"/>
      <c r="M236" s="1081"/>
      <c r="N236" s="1081"/>
      <c r="R236" s="1081"/>
      <c r="S236" s="1393"/>
      <c r="T236" s="1081"/>
      <c r="U236" s="1573"/>
      <c r="AA236" s="1571"/>
      <c r="AB236" s="1571"/>
      <c r="AC236" s="1572" t="s">
        <v>283</v>
      </c>
      <c r="AD236" s="1499"/>
      <c r="AE236" s="4200" t="s">
        <v>292</v>
      </c>
      <c r="AF236" s="4201"/>
      <c r="AG236" s="4201"/>
      <c r="AH236" s="4201"/>
      <c r="AI236" s="1574">
        <f>'Val-Dép'!X46</f>
        <v>0</v>
      </c>
      <c r="AJ236" s="1574"/>
      <c r="AK236" s="1499"/>
    </row>
    <row r="237" spans="2:53" ht="18" customHeight="1" x14ac:dyDescent="0.3">
      <c r="C237" s="1081" t="s">
        <v>2</v>
      </c>
      <c r="D237" s="1081"/>
      <c r="E237" s="1171"/>
      <c r="F237" s="1081"/>
      <c r="G237" s="1081"/>
      <c r="H237" s="1081"/>
      <c r="I237" s="2706"/>
      <c r="J237" s="1081"/>
      <c r="M237" s="1081"/>
      <c r="N237" s="1081"/>
      <c r="O237" s="1579"/>
      <c r="P237" s="2594" t="s">
        <v>187</v>
      </c>
      <c r="Q237" s="2594"/>
      <c r="R237" s="2594"/>
      <c r="S237" s="1580"/>
      <c r="T237" s="1579"/>
      <c r="U237" s="1581"/>
      <c r="AA237" s="1571"/>
      <c r="AB237" s="1571"/>
      <c r="AC237" s="1572">
        <v>451020</v>
      </c>
      <c r="AD237" s="1499"/>
      <c r="AE237" s="4200" t="s">
        <v>288</v>
      </c>
      <c r="AF237" s="4201"/>
      <c r="AG237" s="4201"/>
      <c r="AH237" s="4201"/>
      <c r="AI237" s="1574">
        <f>'Val-Dép'!AD46</f>
        <v>0</v>
      </c>
      <c r="AJ237" s="1574"/>
      <c r="AK237" s="1499"/>
    </row>
    <row r="238" spans="2:53" ht="14.1" customHeight="1" thickBot="1" x14ac:dyDescent="0.35">
      <c r="B238" s="1180" t="s">
        <v>186</v>
      </c>
      <c r="C238" s="1498">
        <v>6122</v>
      </c>
      <c r="D238" s="1470"/>
      <c r="E238" s="1470"/>
      <c r="F238" s="1081"/>
      <c r="G238" s="1081"/>
      <c r="H238" s="1575" t="s">
        <v>2152</v>
      </c>
      <c r="I238" s="2747"/>
      <c r="J238" s="1576"/>
      <c r="L238" s="1577"/>
      <c r="M238" s="1578" t="e">
        <f>O235-C197</f>
        <v>#VALUE!</v>
      </c>
      <c r="N238" s="2640"/>
      <c r="O238" s="1582"/>
      <c r="P238" s="1582"/>
      <c r="Q238" s="1584"/>
      <c r="R238" s="1582"/>
      <c r="S238" s="1585"/>
      <c r="T238" s="1584"/>
      <c r="U238" s="1586"/>
      <c r="AA238" s="1571"/>
      <c r="AB238" s="1571"/>
      <c r="AC238" s="1572" t="s">
        <v>282</v>
      </c>
      <c r="AD238" s="1499"/>
      <c r="AE238" s="4200" t="s">
        <v>291</v>
      </c>
      <c r="AF238" s="4201"/>
      <c r="AG238" s="4201"/>
      <c r="AH238" s="4201"/>
      <c r="AI238" s="1574">
        <f>'Val-Dép'!AE46</f>
        <v>0</v>
      </c>
      <c r="AJ238" s="1574"/>
      <c r="AK238" s="1499"/>
    </row>
    <row r="239" spans="2:53" ht="14.1" customHeight="1" thickBot="1" x14ac:dyDescent="0.35">
      <c r="B239" s="1087">
        <v>35</v>
      </c>
      <c r="C239" s="1552">
        <f>IF(ISNA(VLOOKUP($D$266,'Val-Dép'!I35:AC35,8,FALSE)),,VLOOKUP($D$265,'Val-Dép'!I35:AC35,8,FALSE))</f>
        <v>0</v>
      </c>
      <c r="D239" s="1582"/>
      <c r="E239" s="1583"/>
      <c r="F239" s="1582"/>
      <c r="G239" s="1582"/>
      <c r="H239" s="1582"/>
      <c r="I239" s="2748"/>
      <c r="J239" s="1582"/>
      <c r="L239" s="1582"/>
      <c r="M239" s="1582"/>
      <c r="N239" s="1582"/>
      <c r="O239" s="1081"/>
      <c r="P239" s="1081"/>
      <c r="Q239" s="1162"/>
      <c r="R239" s="1081"/>
      <c r="S239" s="1393"/>
      <c r="T239" s="1162"/>
      <c r="U239" s="1162"/>
      <c r="AA239" s="1571"/>
      <c r="AB239" s="1571"/>
      <c r="AC239" s="1572"/>
      <c r="AD239" s="1499"/>
      <c r="AE239" s="1587"/>
      <c r="AF239" s="1588"/>
      <c r="AG239" s="1588"/>
      <c r="AH239" s="1588"/>
      <c r="AI239" s="1499"/>
      <c r="AJ239" s="1574"/>
      <c r="AK239" s="1499"/>
    </row>
    <row r="240" spans="2:53" ht="14.1" customHeight="1" thickTop="1" thickBot="1" x14ac:dyDescent="0.35">
      <c r="B240" s="1087">
        <v>36</v>
      </c>
      <c r="C240" s="1512">
        <f>IF(ISNA(VLOOKUP($D$266,'Val-Dép'!I36:AC36,8,FALSE)),,VLOOKUP($D$265,'Val-Dép'!I36:AC36,8,FALSE))</f>
        <v>0</v>
      </c>
      <c r="D240" s="1081"/>
      <c r="E240" s="1171"/>
      <c r="F240" s="1081"/>
      <c r="G240" s="1081"/>
      <c r="H240" s="1081"/>
      <c r="I240" s="2706"/>
      <c r="J240" s="1081"/>
      <c r="M240" s="1081"/>
      <c r="N240" s="1081"/>
      <c r="O240" s="2592"/>
      <c r="Q240" s="1081"/>
      <c r="R240" s="1180" t="s">
        <v>195</v>
      </c>
      <c r="S240" s="1498">
        <v>4114</v>
      </c>
      <c r="T240" s="1589" t="s">
        <v>4</v>
      </c>
      <c r="U240" s="1183" t="s">
        <v>193</v>
      </c>
      <c r="AA240" s="1571"/>
      <c r="AB240" s="1571"/>
      <c r="AC240" s="1572" t="s">
        <v>284</v>
      </c>
      <c r="AE240" s="4199"/>
      <c r="AF240" s="4199"/>
      <c r="AG240" s="4199"/>
      <c r="AH240" s="4199"/>
      <c r="AI240" s="1499"/>
      <c r="AJ240" s="1574"/>
      <c r="AK240" s="1499"/>
    </row>
    <row r="241" spans="2:37" ht="14.1" customHeight="1" thickBot="1" x14ac:dyDescent="0.35">
      <c r="B241" s="1087">
        <v>37</v>
      </c>
      <c r="C241" s="1512">
        <f>IF(ISNA(VLOOKUP($D$266,'Val-Dép'!I37:AC37,8,FALSE)),,VLOOKUP($D$265,'Val-Dép'!I37:AC37,8,FALSE))</f>
        <v>0</v>
      </c>
      <c r="D241" s="1080"/>
      <c r="E241" s="1171"/>
      <c r="H241" s="1139" t="s">
        <v>2049</v>
      </c>
      <c r="I241" s="2749"/>
      <c r="M241" s="2592" t="s">
        <v>2</v>
      </c>
      <c r="N241" s="2592"/>
      <c r="O241" s="1498" t="s">
        <v>2016</v>
      </c>
      <c r="P241" s="1183" t="s">
        <v>193</v>
      </c>
      <c r="Q241" s="1081"/>
      <c r="R241" s="1592"/>
      <c r="S241" s="1593" t="s">
        <v>2063</v>
      </c>
      <c r="T241" s="1594" t="s">
        <v>293</v>
      </c>
      <c r="U241" s="1595"/>
      <c r="V241" s="1081"/>
      <c r="W241" s="1081"/>
      <c r="X241" s="1081"/>
      <c r="AA241" s="1571"/>
      <c r="AB241" s="1571"/>
      <c r="AI241" s="1499"/>
      <c r="AJ241" s="1574"/>
      <c r="AK241" s="1499"/>
    </row>
    <row r="242" spans="2:37" ht="14.1" customHeight="1" thickBot="1" x14ac:dyDescent="0.35">
      <c r="B242" s="1087">
        <v>38</v>
      </c>
      <c r="C242" s="1512">
        <f>IF(ISNA(VLOOKUP($D$266,'Val-Dép'!I38:AC38,8,FALSE)),,VLOOKUP($D$265,'Val-Dép'!I38:AC38,8,FALSE))</f>
        <v>0</v>
      </c>
      <c r="D242" s="1590" t="s">
        <v>165</v>
      </c>
      <c r="E242" s="1183" t="s">
        <v>185</v>
      </c>
      <c r="G242" s="1180" t="s">
        <v>186</v>
      </c>
      <c r="H242" s="1474">
        <v>4110</v>
      </c>
      <c r="I242" s="2750" t="s">
        <v>165</v>
      </c>
      <c r="J242" s="1183" t="s">
        <v>185</v>
      </c>
      <c r="K242" s="1397"/>
      <c r="L242" s="1180" t="s">
        <v>195</v>
      </c>
      <c r="M242" s="1591">
        <v>70500</v>
      </c>
      <c r="N242" s="1591"/>
      <c r="O242" s="1600">
        <f>IF(ISNA(VLOOKUP($M$242,'Val-Dép'!E13:R13,12,FALSE)),,VLOOKUP($M$242,'Val-Dép'!E13:R13,12,FALSE))</f>
        <v>0</v>
      </c>
      <c r="P242" s="1601">
        <v>13</v>
      </c>
      <c r="Q242" s="1081"/>
      <c r="R242" s="1081"/>
      <c r="S242" s="1602"/>
      <c r="T242" s="1603">
        <f>IF(ISNA(VLOOKUP($T$240,'Val-Dép'!I13:Y13,12,FALSE)),,VLOOKUP($T$240,'Val-Dép'!I13:Y13,12,FALSE))</f>
        <v>0</v>
      </c>
      <c r="U242" s="1171"/>
      <c r="V242" s="1081"/>
      <c r="W242" s="1081"/>
      <c r="X242" s="1081"/>
      <c r="AA242" s="1571"/>
      <c r="AB242" s="1571"/>
      <c r="AC242" s="1572"/>
      <c r="AD242" s="1499"/>
      <c r="AI242" s="1499"/>
      <c r="AJ242" s="1574"/>
      <c r="AK242" s="1499"/>
    </row>
    <row r="243" spans="2:37" ht="14.1" customHeight="1" x14ac:dyDescent="0.3">
      <c r="B243" s="1087">
        <v>39</v>
      </c>
      <c r="C243" s="1512">
        <f>IF(ISNA(VLOOKUP($D$266,'Val-Dép'!I39:AC39,8,FALSE)),,VLOOKUP($D$265,'Val-Dép'!I39:AC39,8,FALSE))</f>
        <v>0</v>
      </c>
      <c r="D243" s="1596"/>
      <c r="E243" s="1516"/>
      <c r="H243" s="1597" t="str">
        <f>IF(('Val-Dép'!I35="Belgacom"),VLOOKUP('Val-Dép'!I35,'Val-Dép'!I35:Z35,18,FALSE),"")</f>
        <v/>
      </c>
      <c r="I243" s="2751"/>
      <c r="K243" s="1397"/>
      <c r="L243" s="1499"/>
      <c r="M243" s="1599"/>
      <c r="N243" s="1599"/>
      <c r="O243" s="1606">
        <f>IF(ISNA(VLOOKUP($M$242,'Val-Dép'!E14:R14,12,FALSE)),,VLOOKUP($M$242,'Val-Dép'!E14:R14,12,FALSE))</f>
        <v>0</v>
      </c>
      <c r="P243" s="1601">
        <v>14</v>
      </c>
      <c r="Q243" s="1081"/>
      <c r="R243" s="1081"/>
      <c r="S243" s="1607"/>
      <c r="T243" s="1608">
        <f>IF(ISNA(VLOOKUP($T$240,'Val-Dép'!I14:Y14,12,FALSE)),,VLOOKUP($T$240,'Val-Dép'!I14:Y14,12,FALSE))</f>
        <v>0</v>
      </c>
      <c r="U243" s="1171"/>
      <c r="V243" s="1081"/>
      <c r="W243" s="1081"/>
      <c r="X243" s="1081"/>
      <c r="AD243" s="1499"/>
      <c r="AI243" s="1499"/>
      <c r="AJ243" s="1574"/>
      <c r="AK243" s="1499"/>
    </row>
    <row r="244" spans="2:37" ht="14.1" customHeight="1" x14ac:dyDescent="0.3">
      <c r="B244" s="1087">
        <v>40</v>
      </c>
      <c r="C244" s="1512">
        <f>IF(ISNA(VLOOKUP($D$266,'Val-Dép'!I40:AC40,8,FALSE)),,VLOOKUP($D$265,'Val-Dép'!I40:AC40,8,FALSE))</f>
        <v>0</v>
      </c>
      <c r="D244" s="1604"/>
      <c r="E244" s="1171"/>
      <c r="H244" s="1597" t="str">
        <f>IF(('Val-Dép'!I36="Belgacom"),VLOOKUP('Val-Dép'!I36,'Val-Dép'!I36:Z36,18,FALSE),"")</f>
        <v/>
      </c>
      <c r="I244" s="2752"/>
      <c r="M244" s="1476"/>
      <c r="N244" s="2641"/>
      <c r="O244" s="1606">
        <f>IF(ISNA(VLOOKUP($M$242,'Val-Dép'!E15:R15,12,FALSE)),,VLOOKUP($M$242,'Val-Dép'!E15:R15,12,FALSE))</f>
        <v>0</v>
      </c>
      <c r="P244" s="1610">
        <v>15</v>
      </c>
      <c r="Q244" s="1081"/>
      <c r="R244" s="1081"/>
      <c r="S244" s="1611"/>
      <c r="T244" s="1608">
        <f>IF(ISNA(VLOOKUP($T$240,'Val-Dép'!I15:Y15,12,FALSE)),,VLOOKUP($T$240,'Val-Dép'!I15:Y15,12,FALSE))</f>
        <v>0</v>
      </c>
      <c r="U244" s="1081"/>
      <c r="V244" s="1081"/>
      <c r="W244" s="1081"/>
      <c r="X244" s="1081"/>
      <c r="AC244" s="1572"/>
      <c r="AD244" s="1499"/>
      <c r="AE244" s="4200"/>
      <c r="AF244" s="4201"/>
      <c r="AG244" s="4201"/>
      <c r="AH244" s="4201"/>
      <c r="AI244" s="1499"/>
      <c r="AJ244" s="1499"/>
      <c r="AK244" s="1574"/>
    </row>
    <row r="245" spans="2:37" ht="14.1" customHeight="1" thickBot="1" x14ac:dyDescent="0.35">
      <c r="B245" s="1087">
        <v>45</v>
      </c>
      <c r="C245" s="1546">
        <f>IF(ISNA(VLOOKUP($D$266,'Val-Dép'!I45:AC45,8,FALSE)),,VLOOKUP($D$265,'Val-Dép'!I45:AC45,8,FALSE))</f>
        <v>0</v>
      </c>
      <c r="D245" s="1604"/>
      <c r="E245" s="1171"/>
      <c r="H245" s="1597" t="str">
        <f>IF(('Val-Dép'!I37="Belgacom"),VLOOKUP('Val-Dép'!I37,'Val-Dép'!I37:Z37,18,FALSE),"")</f>
        <v/>
      </c>
      <c r="I245" s="2752"/>
      <c r="K245" s="1484"/>
      <c r="M245" s="1609"/>
      <c r="N245" s="2642"/>
      <c r="O245" s="1606">
        <f>IF(ISNA(VLOOKUP($M$242,'Val-Dép'!E16:R16,12,FALSE)),,VLOOKUP($M$242,'Val-Dép'!E16:R16,12,FALSE))</f>
        <v>0</v>
      </c>
      <c r="P245" s="1610">
        <v>16</v>
      </c>
      <c r="Q245" s="1081"/>
      <c r="R245" s="1081"/>
      <c r="S245" s="1611"/>
      <c r="T245" s="1608">
        <f>IF(ISNA(VLOOKUP($T$240,'Val-Dép'!I16:Y16,12,FALSE)),,VLOOKUP($T$240,'Val-Dép'!I16:Y16,12,FALSE))</f>
        <v>0</v>
      </c>
      <c r="U245" s="1081"/>
      <c r="V245" s="1081"/>
      <c r="W245" s="1081"/>
      <c r="X245" s="1081"/>
      <c r="Z245" s="1612"/>
      <c r="AA245" s="1613"/>
      <c r="AB245" s="1614"/>
      <c r="AD245" s="1499"/>
      <c r="AE245" s="4200"/>
      <c r="AF245" s="4201"/>
      <c r="AG245" s="4201"/>
      <c r="AH245" s="4201"/>
      <c r="AI245" s="1499"/>
      <c r="AJ245" s="1499"/>
      <c r="AK245" s="1574"/>
    </row>
    <row r="246" spans="2:37" ht="14.1" customHeight="1" x14ac:dyDescent="0.3">
      <c r="C246" s="1482"/>
      <c r="D246" s="1604"/>
      <c r="E246" s="1171"/>
      <c r="H246" s="1597" t="str">
        <f>IF(('Val-Dép'!I38="Belgacom"),VLOOKUP('Val-Dép'!I38,'Val-Dép'!I38:Z38,18,FALSE),"")</f>
        <v/>
      </c>
      <c r="I246" s="2752"/>
      <c r="M246" s="1609"/>
      <c r="N246" s="2642"/>
      <c r="O246" s="1606">
        <f>IF(ISNA(VLOOKUP($M$242,'Val-Dép'!E17:R17,12,FALSE)),,VLOOKUP($M$242,'Val-Dép'!E17:R17,12,FALSE))</f>
        <v>0</v>
      </c>
      <c r="P246" s="1610">
        <v>17</v>
      </c>
      <c r="Q246" s="1081"/>
      <c r="R246" s="1168"/>
      <c r="S246" s="1611"/>
      <c r="T246" s="1608">
        <f>IF(ISNA(VLOOKUP($T$240,'Val-Dép'!I17:Y17,12,FALSE)),,VLOOKUP($T$240,'Val-Dép'!I17:Y17,12,FALSE))</f>
        <v>0</v>
      </c>
      <c r="U246" s="1081"/>
      <c r="V246" s="1081"/>
      <c r="W246" s="1081"/>
      <c r="X246" s="1081"/>
      <c r="AA246" s="1613"/>
      <c r="AB246" s="1614"/>
      <c r="AC246" s="1572"/>
      <c r="AD246" s="1499"/>
      <c r="AE246" s="4199"/>
      <c r="AF246" s="4199"/>
      <c r="AG246" s="4199"/>
      <c r="AH246" s="4199"/>
      <c r="AI246" s="1499"/>
      <c r="AJ246" s="1499"/>
      <c r="AK246" s="1499"/>
    </row>
    <row r="247" spans="2:37" ht="14.1" customHeight="1" thickBot="1" x14ac:dyDescent="0.35">
      <c r="B247" s="1180" t="s">
        <v>186</v>
      </c>
      <c r="C247" s="1498">
        <v>6140</v>
      </c>
      <c r="D247" s="1604"/>
      <c r="E247" s="1171"/>
      <c r="H247" s="1597" t="str">
        <f>IF(('Val-Dép'!I39="Belgacom"),VLOOKUP('Val-Dép'!I39,'Val-Dép'!I39:Z39,18,FALSE),"")</f>
        <v/>
      </c>
      <c r="I247" s="2752"/>
      <c r="K247" s="1494"/>
      <c r="M247" s="1609"/>
      <c r="N247" s="2642"/>
      <c r="O247" s="1606">
        <f>IF(ISNA(VLOOKUP($M$242,'Val-Dép'!E18:R18,12,FALSE)),,VLOOKUP($M$242,'Val-Dép'!E18:R18,12,FALSE))</f>
        <v>0</v>
      </c>
      <c r="P247" s="1610">
        <v>18</v>
      </c>
      <c r="Q247" s="1081"/>
      <c r="R247" s="1081"/>
      <c r="S247" s="1611"/>
      <c r="T247" s="1608">
        <f>IF(ISNA(VLOOKUP($T$240,'Val-Dép'!I18:Y18,12,FALSE)),,VLOOKUP($T$240,'Val-Dép'!I18:Y18,12,FALSE))</f>
        <v>0</v>
      </c>
      <c r="U247" s="1081"/>
      <c r="V247" s="1081"/>
      <c r="W247" s="1081"/>
      <c r="X247" s="1081"/>
      <c r="Z247" s="1612"/>
      <c r="AB247" s="1614"/>
      <c r="AD247" s="1615" t="s">
        <v>285</v>
      </c>
      <c r="AE247" s="4204" t="s">
        <v>8</v>
      </c>
      <c r="AF247" s="4205"/>
      <c r="AG247" s="4205"/>
      <c r="AH247" s="4205"/>
      <c r="AJ247" s="1574">
        <f>'Val-Dép'!Z46</f>
        <v>0</v>
      </c>
      <c r="AK247" s="1499"/>
    </row>
    <row r="248" spans="2:37" ht="14.1" customHeight="1" thickBot="1" x14ac:dyDescent="0.35">
      <c r="B248" s="1087">
        <v>35</v>
      </c>
      <c r="C248" s="1503">
        <f>IF(ISNA(VLOOKUP($D$278,'Val-Dép'!I35:AC35,8,FALSE)),,VLOOKUP($D$278,'Val-Dép'!I35:AC35,8,FALSE))</f>
        <v>0</v>
      </c>
      <c r="D248" s="1604"/>
      <c r="E248" s="1171"/>
      <c r="H248" s="1597" t="str">
        <f>IF(('Val-Dép'!I40="Belgacom"),VLOOKUP('Val-Dép'!I40,'Val-Dép'!I40:Z40,18,FALSE),"")</f>
        <v/>
      </c>
      <c r="I248" s="2752"/>
      <c r="K248" s="1494"/>
      <c r="M248" s="1609"/>
      <c r="N248" s="2642"/>
      <c r="O248" s="1606">
        <f>IF(ISNA(VLOOKUP($M$242,'Val-Dép'!E19:R19,12,FALSE)),,VLOOKUP($M$242,'Val-Dép'!E19:R19,12,FALSE))</f>
        <v>0</v>
      </c>
      <c r="P248" s="1610">
        <v>19</v>
      </c>
      <c r="Q248" s="1081"/>
      <c r="S248" s="1607"/>
      <c r="T248" s="1608">
        <f>IF(ISNA(VLOOKUP($T$240,'Val-Dép'!I19:Y19,12,FALSE)),,VLOOKUP($T$240,'Val-Dép'!I19:Y19,12,FALSE))</f>
        <v>0</v>
      </c>
      <c r="V248" s="1081"/>
      <c r="W248" s="1081"/>
      <c r="X248" s="1081"/>
      <c r="Z248" s="1616"/>
      <c r="AA248" s="1617"/>
      <c r="AB248" s="1231"/>
      <c r="AD248" s="1615" t="s">
        <v>286</v>
      </c>
      <c r="AE248" s="4200" t="s">
        <v>2064</v>
      </c>
      <c r="AF248" s="4201"/>
      <c r="AG248" s="4201"/>
      <c r="AH248" s="4201"/>
      <c r="AJ248" s="1574">
        <f>'Val-Dép'!T26</f>
        <v>0</v>
      </c>
      <c r="AK248" s="1574"/>
    </row>
    <row r="249" spans="2:37" ht="14.1" customHeight="1" x14ac:dyDescent="0.3">
      <c r="B249" s="1087">
        <v>36</v>
      </c>
      <c r="C249" s="1512">
        <f>IF(ISNA(VLOOKUP($D$278,'Val-Dép'!I36:AC36,8,FALSE)),,VLOOKUP($D$278,'Val-Dép'!I36:AC36,8,FALSE))</f>
        <v>0</v>
      </c>
      <c r="D249" s="1629"/>
      <c r="E249" s="1171"/>
      <c r="H249" s="1597" t="str">
        <f>IF(('Val-Dép'!I41="Belgacom"),VLOOKUP('Val-Dép'!I41,'Val-Dép'!I41:Z41,18,FALSE),"")</f>
        <v/>
      </c>
      <c r="I249" s="2752"/>
      <c r="K249" s="1081"/>
      <c r="M249" s="1609"/>
      <c r="N249" s="2642"/>
      <c r="O249" s="1606">
        <f>IF(ISNA(VLOOKUP($M$242,'Val-Dép'!E20:R20,12,FALSE)),,VLOOKUP($M$242,'Val-Dép'!E20:R20,12,FALSE))</f>
        <v>0</v>
      </c>
      <c r="P249" s="1610">
        <v>20</v>
      </c>
      <c r="Q249" s="1081"/>
      <c r="S249" s="1607"/>
      <c r="T249" s="1608">
        <f>IF(ISNA(VLOOKUP($T$240,'Val-Dép'!I20:Y20,12,FALSE)),,VLOOKUP($T$240,'Val-Dép'!I20:Y20,12,FALSE))</f>
        <v>0</v>
      </c>
      <c r="V249" s="1081"/>
      <c r="W249" s="1081"/>
      <c r="X249" s="1081"/>
      <c r="Z249" s="1616"/>
      <c r="AA249" s="1617"/>
      <c r="AB249" s="1231"/>
      <c r="AC249" s="1535"/>
      <c r="AD249" s="1499"/>
      <c r="AE249" s="4200"/>
      <c r="AF249" s="4201"/>
      <c r="AG249" s="4201"/>
      <c r="AH249" s="4201"/>
      <c r="AI249" s="1393"/>
      <c r="AJ249" s="1393"/>
      <c r="AK249" s="1393"/>
    </row>
    <row r="250" spans="2:37" ht="14.1" customHeight="1" x14ac:dyDescent="0.3">
      <c r="B250" s="1087">
        <v>37</v>
      </c>
      <c r="C250" s="1512">
        <f>IF(ISNA(VLOOKUP($D$278,'Val-Dép'!I37:AC37,8,FALSE)),,VLOOKUP($D$278,'Val-Dép'!I37:AC37,8,FALSE))</f>
        <v>0</v>
      </c>
      <c r="D250" s="1081"/>
      <c r="E250" s="1171"/>
      <c r="H250" s="1597" t="str">
        <f>IF(('Val-Dép'!I42="Belgacom"),VLOOKUP('Val-Dép'!I42,'Val-Dép'!I42:Z42,18,FALSE),"")</f>
        <v/>
      </c>
      <c r="I250" s="2752"/>
      <c r="K250" s="1081"/>
      <c r="M250" s="1609"/>
      <c r="N250" s="2642"/>
      <c r="O250" s="1606">
        <f>IF(ISNA(VLOOKUP($M$242,'Val-Dép'!E21:R21,12,FALSE)),,VLOOKUP($M$242,'Val-Dép'!E21:R21,12,FALSE))</f>
        <v>0</v>
      </c>
      <c r="P250" s="1610">
        <v>21</v>
      </c>
      <c r="Q250" s="1081"/>
      <c r="S250" s="1607"/>
      <c r="T250" s="1608">
        <f>IF(ISNA(VLOOKUP($T$240,'Val-Dép'!I21:Y21,12,FALSE)),,VLOOKUP($T$240,'Val-Dép'!I21:Y21,12,FALSE))</f>
        <v>0</v>
      </c>
      <c r="V250" s="1081"/>
      <c r="W250" s="1081"/>
      <c r="X250" s="1081"/>
      <c r="Z250" s="1618"/>
      <c r="AA250" s="1619"/>
      <c r="AB250" s="1231"/>
      <c r="AC250" s="1612" t="s">
        <v>284</v>
      </c>
      <c r="AD250" s="1499"/>
      <c r="AE250" s="4200" t="s">
        <v>290</v>
      </c>
      <c r="AF250" s="4201"/>
      <c r="AG250" s="4201"/>
      <c r="AH250" s="4201"/>
      <c r="AI250" s="1620">
        <v>300</v>
      </c>
      <c r="AJ250" s="1620"/>
      <c r="AK250" s="1393"/>
    </row>
    <row r="251" spans="2:37" ht="14.1" customHeight="1" x14ac:dyDescent="0.3">
      <c r="B251" s="1087">
        <v>38</v>
      </c>
      <c r="C251" s="1512">
        <f>IF(ISNA(VLOOKUP($D$278,'Val-Dép'!I38:AC38,8,FALSE)),,VLOOKUP($D$278,'Val-Dép'!I38:AC38,8,FALSE))</f>
        <v>0</v>
      </c>
      <c r="D251" s="1080"/>
      <c r="E251" s="1171"/>
      <c r="H251" s="1597" t="str">
        <f>IF(('Val-Dép'!I43="Belgacom"),VLOOKUP('Val-Dép'!I43,'Val-Dép'!I43:Z43,18,FALSE),"")</f>
        <v/>
      </c>
      <c r="I251" s="2752"/>
      <c r="K251" s="1500"/>
      <c r="M251" s="1609"/>
      <c r="N251" s="2642"/>
      <c r="O251" s="1606">
        <f>IF(ISNA(VLOOKUP($M$242,'Val-Dép'!E22:R22,12,FALSE)),,VLOOKUP($M$242,'Val-Dép'!E22:R22,12,FALSE))</f>
        <v>0</v>
      </c>
      <c r="P251" s="1610">
        <v>22</v>
      </c>
      <c r="Q251" s="1162"/>
      <c r="S251" s="1621"/>
      <c r="T251" s="1622">
        <f>IF(ISNA(VLOOKUP($T$240,'Val-Dép'!I22:Y22,12,FALSE)),,VLOOKUP($T$240,'Val-Dép'!I22:Y22,12,FALSE))</f>
        <v>0</v>
      </c>
      <c r="V251" s="1081"/>
      <c r="W251" s="1081"/>
      <c r="X251" s="1081"/>
      <c r="AD251" s="1613" t="s">
        <v>287</v>
      </c>
      <c r="AE251" s="4202" t="s">
        <v>289</v>
      </c>
      <c r="AF251" s="4203"/>
      <c r="AG251" s="4203"/>
      <c r="AH251" s="4203"/>
      <c r="AI251" s="1623"/>
      <c r="AJ251" s="1623">
        <v>300</v>
      </c>
      <c r="AK251" s="1136"/>
    </row>
    <row r="252" spans="2:37" ht="14.1" customHeight="1" thickBot="1" x14ac:dyDescent="0.35">
      <c r="B252" s="1087">
        <v>39</v>
      </c>
      <c r="C252" s="1512">
        <f>IF(ISNA(VLOOKUP($D$278,'Val-Dép'!I39:AC39,8,FALSE)),,VLOOKUP($D$278,'Val-Dép'!I39:AC39,8,FALSE))</f>
        <v>0</v>
      </c>
      <c r="D252" s="1589" t="s">
        <v>351</v>
      </c>
      <c r="E252" s="1171"/>
      <c r="H252" s="1597" t="str">
        <f>IF(('Val-Dép'!I44="Belgacom"),VLOOKUP('Val-Dép'!I44,'Val-Dép'!I44:Z44,18,FALSE),"")</f>
        <v/>
      </c>
      <c r="I252" s="2752"/>
      <c r="K252" s="1500"/>
      <c r="M252" s="1609"/>
      <c r="N252" s="2642"/>
      <c r="O252" s="1626">
        <f>IF(ISNA(VLOOKUP($M$242,'Val-Dép'!E23:R23,12,FALSE)),,VLOOKUP($M$242,'Val-Dép'!E23:R23,12,FALSE))</f>
        <v>0</v>
      </c>
      <c r="P252" s="1610">
        <v>23</v>
      </c>
      <c r="Q252" s="1162"/>
      <c r="S252" s="1627"/>
      <c r="T252" s="1628">
        <f>IF(ISNA(VLOOKUP($T$240,'Val-Dép'!I23:Y23,12,FALSE)),,VLOOKUP($T$240,'Val-Dép'!I23:Y23,12,FALSE))</f>
        <v>0</v>
      </c>
      <c r="AC252" s="1136"/>
      <c r="AD252" s="1393"/>
      <c r="AE252" s="4197"/>
      <c r="AF252" s="4198"/>
      <c r="AG252" s="4198"/>
      <c r="AH252" s="4198"/>
      <c r="AI252" s="1255">
        <f>SUM(AI235:AI251)</f>
        <v>300</v>
      </c>
      <c r="AJ252" s="1255">
        <f>SUM(AJ235:AJ251)</f>
        <v>300</v>
      </c>
    </row>
    <row r="253" spans="2:37" ht="14.1" customHeight="1" thickBot="1" x14ac:dyDescent="0.35">
      <c r="B253" s="1087">
        <v>45</v>
      </c>
      <c r="C253" s="1546">
        <f>IF(ISNA(VLOOKUP($D$278,'Val-Dép'!I45:AC45,8,FALSE)),,VLOOKUP($D$278,'Val-Dép'!I45:AC45,8,FALSE))</f>
        <v>0</v>
      </c>
      <c r="D253" s="1635"/>
      <c r="E253" s="1171"/>
      <c r="H253" s="1597" t="str">
        <f>IF(('Val-Dép'!I45="Belgacom"),VLOOKUP('Val-Dép'!I45,'Val-Dép'!I45:Z45,18,FALSE),"")</f>
        <v/>
      </c>
      <c r="I253" s="2753"/>
      <c r="K253" s="1500"/>
      <c r="M253" s="1625"/>
      <c r="N253" s="2643"/>
      <c r="O253" s="1631"/>
      <c r="P253" s="1171"/>
      <c r="Q253" s="1162"/>
      <c r="S253" s="1393"/>
      <c r="T253" s="1482">
        <f>SUM(T242:T252)</f>
        <v>0</v>
      </c>
      <c r="AC253" s="1136"/>
      <c r="AD253" s="1136"/>
      <c r="AE253" s="4197"/>
      <c r="AF253" s="4198"/>
      <c r="AG253" s="4198"/>
      <c r="AH253" s="4198"/>
    </row>
    <row r="254" spans="2:37" ht="14.1" customHeight="1" x14ac:dyDescent="0.3">
      <c r="C254" s="1482"/>
      <c r="D254" s="1637"/>
      <c r="E254" s="1171"/>
      <c r="H254" s="1630"/>
      <c r="I254" s="2691"/>
      <c r="K254" s="1632"/>
      <c r="M254" s="1532"/>
      <c r="N254" s="1172"/>
      <c r="O254" s="1482"/>
      <c r="P254" s="1171"/>
      <c r="Q254" s="1162"/>
      <c r="R254" s="1081"/>
      <c r="S254" s="1633"/>
      <c r="T254" s="1633"/>
      <c r="U254" s="1081"/>
      <c r="V254" s="1081"/>
      <c r="W254" s="1081"/>
      <c r="AC254" s="1136"/>
      <c r="AE254" s="1136"/>
      <c r="AF254" s="1136"/>
      <c r="AG254" s="1136"/>
      <c r="AH254" s="1136"/>
      <c r="AJ254" s="1634">
        <f>AJ252-AI252</f>
        <v>0</v>
      </c>
    </row>
    <row r="255" spans="2:37" ht="14.1" customHeight="1" x14ac:dyDescent="0.25">
      <c r="C255" s="1482"/>
      <c r="D255" s="1637"/>
      <c r="E255" s="1171"/>
      <c r="K255" s="1632"/>
      <c r="M255" s="1162"/>
      <c r="N255" s="1162"/>
      <c r="O255" s="1482"/>
      <c r="P255" s="1171"/>
      <c r="Q255" s="1162"/>
      <c r="R255" s="1081"/>
      <c r="S255" s="1393"/>
      <c r="T255" s="1081"/>
      <c r="U255" s="1081"/>
      <c r="V255" s="1081"/>
      <c r="W255" s="1081"/>
    </row>
    <row r="256" spans="2:37" ht="14.1" customHeight="1" x14ac:dyDescent="0.25">
      <c r="C256" s="1482"/>
      <c r="D256" s="1637"/>
      <c r="E256" s="1171"/>
      <c r="H256" s="1139" t="s">
        <v>2049</v>
      </c>
      <c r="I256" s="2749"/>
      <c r="K256" s="1632"/>
      <c r="M256" s="1162"/>
      <c r="N256" s="1162"/>
      <c r="O256" s="2593"/>
      <c r="P256" s="1171"/>
      <c r="Q256" s="1162"/>
      <c r="R256" s="1081"/>
    </row>
    <row r="257" spans="1:46" ht="14.1" customHeight="1" thickBot="1" x14ac:dyDescent="0.35">
      <c r="C257" s="1482"/>
      <c r="D257" s="1637"/>
      <c r="E257" s="1183" t="s">
        <v>185</v>
      </c>
      <c r="G257" s="1180" t="s">
        <v>186</v>
      </c>
      <c r="H257" s="1474">
        <v>4110</v>
      </c>
      <c r="I257" s="2754" t="s">
        <v>351</v>
      </c>
      <c r="J257" s="1183" t="s">
        <v>185</v>
      </c>
      <c r="K257" s="1632"/>
      <c r="M257" s="2593" t="s">
        <v>2</v>
      </c>
      <c r="N257" s="2593"/>
      <c r="O257" s="1636" t="s">
        <v>250</v>
      </c>
      <c r="P257" s="1183" t="s">
        <v>193</v>
      </c>
      <c r="Q257" s="1162"/>
      <c r="R257" s="1081"/>
    </row>
    <row r="258" spans="1:46" ht="14.1" customHeight="1" thickBot="1" x14ac:dyDescent="0.35">
      <c r="C258" s="1482"/>
      <c r="D258" s="1637"/>
      <c r="E258" s="1171"/>
      <c r="H258" s="1597" t="str">
        <f>IF(('Val-Dép'!I35="Entret./M.R."),VLOOKUP('Val-Dép'!I35,'Val-Dép'!I35:Z35,18,FALSE),"")</f>
        <v/>
      </c>
      <c r="I258" s="2751"/>
      <c r="K258" s="1632"/>
      <c r="L258" s="1180" t="s">
        <v>195</v>
      </c>
      <c r="M258" s="1591">
        <v>70010</v>
      </c>
      <c r="N258" s="1591"/>
      <c r="O258" s="1603">
        <f>IF(ISNA(VLOOKUP($M$258,'Val-Dép'!E13:R13,12,FALSE)),,VLOOKUP($M$258,'Val-Dép'!E13:R13,12,FALSE))</f>
        <v>0</v>
      </c>
      <c r="P258" s="1601">
        <v>13</v>
      </c>
      <c r="Q258" s="1162"/>
      <c r="R258" s="1081"/>
    </row>
    <row r="259" spans="1:46" ht="14.1" customHeight="1" x14ac:dyDescent="0.25">
      <c r="C259" s="1482"/>
      <c r="D259" s="1637"/>
      <c r="E259" s="1171"/>
      <c r="H259" s="1597" t="str">
        <f>IF(('Val-Dép'!I36="Entret./M.R."),VLOOKUP('Val-Dép'!I36,'Val-Dép'!I36:Z36,18,FALSE),"")</f>
        <v/>
      </c>
      <c r="I259" s="2752"/>
      <c r="K259" s="1632"/>
      <c r="M259" s="1503"/>
      <c r="N259" s="1503"/>
      <c r="O259" s="1608">
        <f>IF(ISNA(VLOOKUP($M$258,'Val-Dép'!E14:R14,12,FALSE)),,VLOOKUP($M$258,'Val-Dép'!E14:R14,12,FALSE))</f>
        <v>0</v>
      </c>
      <c r="P259" s="1601">
        <v>14</v>
      </c>
      <c r="Q259" s="1162"/>
      <c r="R259" s="1081"/>
    </row>
    <row r="260" spans="1:46" ht="14.1" customHeight="1" thickBot="1" x14ac:dyDescent="0.3">
      <c r="C260" s="1482"/>
      <c r="D260" s="1638"/>
      <c r="E260" s="1171"/>
      <c r="H260" s="1597" t="str">
        <f>IF(('Val-Dép'!I37="Entret./M.R."),VLOOKUP('Val-Dép'!I37,'Val-Dép'!I37:Z37,18,FALSE),"")</f>
        <v/>
      </c>
      <c r="I260" s="2752"/>
      <c r="K260" s="1632"/>
      <c r="M260" s="1512"/>
      <c r="N260" s="1512"/>
      <c r="O260" s="1608">
        <f>IF(ISNA(VLOOKUP($M$258,'Val-Dép'!E15:R15,12,FALSE)),,VLOOKUP($M$258,'Val-Dép'!E15:R15,12,FALSE))</f>
        <v>0</v>
      </c>
      <c r="P260" s="1610">
        <v>15</v>
      </c>
      <c r="Q260" s="1162"/>
      <c r="R260" s="1081"/>
    </row>
    <row r="261" spans="1:46" ht="14.1" customHeight="1" x14ac:dyDescent="0.3">
      <c r="C261" s="1482"/>
      <c r="D261" s="1535"/>
      <c r="E261" s="1171"/>
      <c r="H261" s="1597" t="str">
        <f>IF(('Val-Dép'!I38="Entret./M.R."),VLOOKUP('Val-Dép'!I38,'Val-Dép'!I38:Z38,18,FALSE),"")</f>
        <v/>
      </c>
      <c r="I261" s="2752"/>
      <c r="K261" s="1632"/>
      <c r="M261" s="1512"/>
      <c r="N261" s="1512"/>
      <c r="O261" s="1608">
        <f>IF(ISNA(VLOOKUP($M$258,'Val-Dép'!E16:R16,12,FALSE)),,VLOOKUP($M$258,'Val-Dép'!E16:R16,12,FALSE))</f>
        <v>0</v>
      </c>
      <c r="P261" s="1610">
        <v>16</v>
      </c>
      <c r="Q261" s="1162"/>
      <c r="R261" s="1081"/>
    </row>
    <row r="262" spans="1:46" ht="14.1" customHeight="1" x14ac:dyDescent="0.3">
      <c r="C262" s="1482"/>
      <c r="D262" s="1535"/>
      <c r="E262" s="1171"/>
      <c r="F262" s="1081"/>
      <c r="H262" s="1597" t="str">
        <f>IF(('Val-Dép'!I39="Entret./M.R."),VLOOKUP('Val-Dép'!I39,'Val-Dép'!I39:Z39,18,FALSE),"")</f>
        <v/>
      </c>
      <c r="I262" s="2752"/>
      <c r="K262" s="1632"/>
      <c r="M262" s="1512"/>
      <c r="N262" s="1512"/>
      <c r="O262" s="1608">
        <f>IF(ISNA(VLOOKUP($M$258,'Val-Dép'!E17:R17,12,FALSE)),,VLOOKUP($M$258,'Val-Dép'!E17:R17,12,FALSE))</f>
        <v>0</v>
      </c>
      <c r="P262" s="1610">
        <v>17</v>
      </c>
      <c r="Q262" s="1162"/>
      <c r="R262" s="1081"/>
    </row>
    <row r="263" spans="1:46" ht="14.1" customHeight="1" x14ac:dyDescent="0.3">
      <c r="C263" s="1482"/>
      <c r="D263" s="1535"/>
      <c r="E263" s="1171"/>
      <c r="F263" s="1081"/>
      <c r="H263" s="1597" t="str">
        <f>IF(('Val-Dép'!I40="Entret./M.R."),VLOOKUP('Val-Dép'!I40,'Val-Dép'!I40:Z40,18,FALSE),"")</f>
        <v/>
      </c>
      <c r="I263" s="2752"/>
      <c r="K263" s="1632"/>
      <c r="M263" s="1512"/>
      <c r="N263" s="1512"/>
      <c r="O263" s="1608">
        <f>IF(ISNA(VLOOKUP($M$258,'Val-Dép'!E18:R18,12,FALSE)),,VLOOKUP($M$258,'Val-Dép'!E18:R18,12,FALSE))</f>
        <v>0</v>
      </c>
      <c r="P263" s="1610">
        <v>18</v>
      </c>
      <c r="Q263" s="1162"/>
      <c r="R263" s="1081"/>
    </row>
    <row r="264" spans="1:46" ht="14.1" customHeight="1" x14ac:dyDescent="0.25">
      <c r="C264" s="1482"/>
      <c r="D264" s="1081" t="s">
        <v>2</v>
      </c>
      <c r="E264" s="1171"/>
      <c r="H264" s="1597" t="str">
        <f>IF(('Val-Dép'!I44="Entret./M.R."),VLOOKUP('Val-Dép'!I44,'Val-Dép'!I44:Z44,18,FALSE),"")</f>
        <v/>
      </c>
      <c r="I264" s="2752"/>
      <c r="K264" s="1632"/>
      <c r="M264" s="1512"/>
      <c r="N264" s="1512"/>
      <c r="O264" s="1608">
        <f>IF(ISNA(VLOOKUP($M$258,'Val-Dép'!E19:R19,12,FALSE)),,VLOOKUP($M$258,'Val-Dép'!E19:R19,12,FALSE))</f>
        <v>0</v>
      </c>
      <c r="P264" s="1610">
        <v>19</v>
      </c>
      <c r="Q264" s="1162"/>
      <c r="R264" s="1081"/>
    </row>
    <row r="265" spans="1:46" ht="14.1" customHeight="1" thickBot="1" x14ac:dyDescent="0.35">
      <c r="C265" s="1482"/>
      <c r="D265" s="1636" t="s">
        <v>274</v>
      </c>
      <c r="E265" s="1171"/>
      <c r="F265" s="1639"/>
      <c r="H265" s="1597" t="str">
        <f>IF(('Val-Dép'!I45="Entret./M.R."),VLOOKUP('Val-Dép'!I45,'Val-Dép'!I45:Z45,18,FALSE),"")</f>
        <v/>
      </c>
      <c r="I265" s="2753"/>
      <c r="K265" s="1632"/>
      <c r="M265" s="1512"/>
      <c r="N265" s="1512"/>
      <c r="O265" s="1608">
        <f>IF(ISNA(VLOOKUP($M$258,'Val-Dép'!E20:R20,12,FALSE)),,VLOOKUP($M$258,'Val-Dép'!E20:R20,12,FALSE))</f>
        <v>0</v>
      </c>
      <c r="P265" s="1610">
        <v>20</v>
      </c>
      <c r="Q265" s="1162"/>
      <c r="R265" s="1081"/>
      <c r="AO265" s="1535"/>
      <c r="AP265" s="1535"/>
      <c r="AQ265" s="1535"/>
      <c r="AR265" s="1535"/>
      <c r="AS265" s="1535"/>
      <c r="AT265" s="1535"/>
    </row>
    <row r="266" spans="1:46" s="1535" customFormat="1" ht="14.1" customHeight="1" thickBot="1" x14ac:dyDescent="0.35">
      <c r="A266" s="1087"/>
      <c r="B266" s="1087"/>
      <c r="C266" s="1482"/>
      <c r="D266" s="1642" t="s">
        <v>175</v>
      </c>
      <c r="F266" s="1499"/>
      <c r="I266" s="2755"/>
      <c r="K266" s="1632"/>
      <c r="L266" s="1081"/>
      <c r="M266" s="1512"/>
      <c r="N266" s="1512"/>
      <c r="O266" s="1608">
        <f>IF(ISNA(VLOOKUP($M$258,'Val-Dép'!E21:R21,12,FALSE)),,VLOOKUP($M$258,'Val-Dép'!E21:R21,12,FALSE))</f>
        <v>0</v>
      </c>
      <c r="P266" s="1610">
        <v>21</v>
      </c>
      <c r="Q266" s="1516"/>
      <c r="R266" s="1499"/>
      <c r="V266" s="1087"/>
      <c r="W266" s="1087"/>
      <c r="AC266" s="1087"/>
      <c r="AD266" s="1087"/>
      <c r="AE266" s="1087"/>
      <c r="AF266" s="1087"/>
      <c r="AG266" s="1087"/>
      <c r="AH266" s="1087"/>
      <c r="AI266" s="1087"/>
      <c r="AJ266" s="1087"/>
      <c r="AK266" s="1087"/>
    </row>
    <row r="267" spans="1:46" s="1535" customFormat="1" ht="14.1" customHeight="1" x14ac:dyDescent="0.3">
      <c r="A267" s="1087"/>
      <c r="B267" s="1087"/>
      <c r="C267" s="1482"/>
      <c r="D267" s="1644"/>
      <c r="F267" s="1499"/>
      <c r="I267" s="2755"/>
      <c r="K267" s="1640"/>
      <c r="L267" s="1081"/>
      <c r="M267" s="1512"/>
      <c r="N267" s="1512"/>
      <c r="O267" s="1608">
        <f>IF(ISNA(VLOOKUP($M$258,'Val-Dép'!E22:R22,12,FALSE)),,VLOOKUP($M$258,'Val-Dép'!E22:R22,12,FALSE))</f>
        <v>0</v>
      </c>
      <c r="P267" s="1610">
        <v>22</v>
      </c>
      <c r="Q267" s="1516"/>
      <c r="R267" s="1081"/>
      <c r="AC267" s="1087"/>
      <c r="AD267" s="1087"/>
      <c r="AE267" s="1087"/>
      <c r="AF267" s="1087"/>
      <c r="AG267" s="1087"/>
      <c r="AH267" s="1087"/>
    </row>
    <row r="268" spans="1:46" s="1535" customFormat="1" ht="14.1" customHeight="1" thickBot="1" x14ac:dyDescent="0.35">
      <c r="A268" s="1087"/>
      <c r="B268" s="1087"/>
      <c r="C268" s="1482"/>
      <c r="D268" s="1637"/>
      <c r="F268" s="1499"/>
      <c r="I268" s="2755"/>
      <c r="K268" s="1632"/>
      <c r="L268" s="1081"/>
      <c r="M268" s="1512"/>
      <c r="N268" s="1512"/>
      <c r="O268" s="1624"/>
      <c r="P268" s="1610">
        <v>23</v>
      </c>
      <c r="Q268" s="1516"/>
      <c r="R268" s="1499"/>
      <c r="AC268" s="1087"/>
      <c r="AD268" s="1087"/>
      <c r="AE268" s="1087"/>
      <c r="AF268" s="1087"/>
      <c r="AG268" s="1087"/>
      <c r="AH268" s="1087"/>
    </row>
    <row r="269" spans="1:46" s="1535" customFormat="1" ht="14.1" customHeight="1" thickBot="1" x14ac:dyDescent="0.35">
      <c r="A269" s="1087"/>
      <c r="B269" s="1087"/>
      <c r="C269" s="1482"/>
      <c r="D269" s="1637"/>
      <c r="E269" s="1171"/>
      <c r="F269" s="1499"/>
      <c r="I269" s="2755"/>
      <c r="K269" s="1641"/>
      <c r="L269" s="1081"/>
      <c r="M269" s="1546"/>
      <c r="N269" s="2644"/>
      <c r="O269" s="1081"/>
      <c r="P269" s="1610"/>
      <c r="Q269" s="1516"/>
      <c r="R269" s="1499"/>
      <c r="AC269" s="1087"/>
      <c r="AD269" s="1087"/>
      <c r="AE269" s="1087"/>
      <c r="AF269" s="1087"/>
      <c r="AG269" s="1087"/>
      <c r="AH269" s="1087"/>
    </row>
    <row r="270" spans="1:46" s="1535" customFormat="1" ht="14.1" customHeight="1" x14ac:dyDescent="0.3">
      <c r="A270" s="1087"/>
      <c r="B270" s="1087"/>
      <c r="C270" s="1482"/>
      <c r="D270" s="1637"/>
      <c r="E270" s="1171"/>
      <c r="F270" s="1499"/>
      <c r="G270" s="1087"/>
      <c r="H270" s="1080" t="s">
        <v>2049</v>
      </c>
      <c r="I270" s="2714"/>
      <c r="J270" s="1087"/>
      <c r="K270" s="1576"/>
      <c r="L270" s="1081"/>
      <c r="M270" s="1482"/>
      <c r="N270" s="1482"/>
      <c r="O270" s="1081"/>
      <c r="P270" s="1610"/>
      <c r="Q270" s="1516"/>
      <c r="R270" s="1499"/>
      <c r="AE270" s="1087"/>
      <c r="AF270" s="1087"/>
      <c r="AG270" s="1087"/>
      <c r="AH270" s="1087"/>
    </row>
    <row r="271" spans="1:46" s="1535" customFormat="1" ht="14.1" customHeight="1" thickBot="1" x14ac:dyDescent="0.35">
      <c r="B271" s="1087"/>
      <c r="C271" s="1482"/>
      <c r="D271" s="1637"/>
      <c r="E271" s="1516" t="s">
        <v>185</v>
      </c>
      <c r="F271" s="1499"/>
      <c r="G271" s="1499" t="s">
        <v>186</v>
      </c>
      <c r="H271" s="1474">
        <v>451020</v>
      </c>
      <c r="I271" s="2756" t="s">
        <v>175</v>
      </c>
      <c r="J271" s="1183" t="s">
        <v>185</v>
      </c>
      <c r="K271" s="1646"/>
      <c r="L271" s="1081"/>
      <c r="M271" s="1482"/>
      <c r="N271" s="1482"/>
      <c r="O271" s="1081"/>
      <c r="P271" s="1610"/>
      <c r="Q271" s="1516"/>
      <c r="R271" s="1499"/>
    </row>
    <row r="272" spans="1:46" s="1535" customFormat="1" ht="14.1" customHeight="1" x14ac:dyDescent="0.3">
      <c r="B272" s="1087"/>
      <c r="C272" s="1482"/>
      <c r="D272" s="1637"/>
      <c r="E272" s="1171"/>
      <c r="F272" s="1499"/>
      <c r="G272" s="1081"/>
      <c r="H272" s="1645" t="str">
        <f>IF(('Val-Dép'!I35="Livres"),VLOOKUP('Val-Dép'!I35,'Val-Dép'!I35:Z35,18,FALSE),"")</f>
        <v/>
      </c>
      <c r="I272" s="2751"/>
      <c r="J272" s="1087"/>
      <c r="K272" s="1641"/>
      <c r="L272" s="1081"/>
      <c r="M272" s="1482"/>
      <c r="N272" s="1482"/>
      <c r="O272" s="1081"/>
      <c r="P272" s="1171"/>
      <c r="Q272" s="1516"/>
      <c r="R272" s="1499"/>
    </row>
    <row r="273" spans="1:46" s="1535" customFormat="1" ht="14.1" customHeight="1" thickBot="1" x14ac:dyDescent="0.35">
      <c r="B273" s="1087"/>
      <c r="C273" s="1482"/>
      <c r="D273" s="1638"/>
      <c r="E273" s="1171"/>
      <c r="F273" s="1499"/>
      <c r="G273" s="1081"/>
      <c r="H273" s="1597" t="str">
        <f>IF(('Val-Dép'!I36="Livres"),VLOOKUP('Val-Dép'!I36,'Val-Dép'!I36:Z36,18,FALSE),"")</f>
        <v/>
      </c>
      <c r="I273" s="2752"/>
      <c r="J273" s="1087"/>
      <c r="K273" s="1641"/>
      <c r="L273" s="1081"/>
      <c r="M273" s="1162"/>
      <c r="N273" s="1162"/>
      <c r="O273" s="1647" t="s">
        <v>235</v>
      </c>
      <c r="P273" s="1183" t="s">
        <v>193</v>
      </c>
      <c r="Q273" s="1516"/>
      <c r="R273" s="1499"/>
    </row>
    <row r="274" spans="1:46" s="1535" customFormat="1" ht="14.1" customHeight="1" thickBot="1" x14ac:dyDescent="0.35">
      <c r="B274" s="1087"/>
      <c r="C274" s="1482"/>
      <c r="D274" s="1081"/>
      <c r="E274" s="1171"/>
      <c r="F274" s="1499"/>
      <c r="G274" s="1081"/>
      <c r="H274" s="1597" t="str">
        <f>IF(('Val-Dép'!I37="Livres"),VLOOKUP('Val-Dép'!I37,'Val-Dép'!I37:Z37,18,FALSE),"")</f>
        <v/>
      </c>
      <c r="I274" s="2752"/>
      <c r="J274" s="1087"/>
      <c r="K274" s="1641"/>
      <c r="L274" s="1180" t="s">
        <v>195</v>
      </c>
      <c r="M274" s="1591">
        <v>70020</v>
      </c>
      <c r="N274" s="1591"/>
      <c r="O274" s="1603">
        <f>IF(ISNA(VLOOKUP($M$274,'Val-Dép'!E13:Y13,12,FALSE)),,VLOOKUP($M$274,'Val-Dép'!E13:Y13,12,FALSE))</f>
        <v>0</v>
      </c>
      <c r="P274" s="1601">
        <v>13</v>
      </c>
      <c r="Q274" s="1516"/>
      <c r="R274" s="1499"/>
    </row>
    <row r="275" spans="1:46" s="1535" customFormat="1" ht="14.1" customHeight="1" x14ac:dyDescent="0.3">
      <c r="B275" s="1087"/>
      <c r="C275" s="1482"/>
      <c r="D275" s="1081"/>
      <c r="E275" s="1171"/>
      <c r="F275" s="1499"/>
      <c r="G275" s="1081"/>
      <c r="H275" s="1597" t="str">
        <f>IF(('Val-Dép'!I38="Livres"),VLOOKUP('Val-Dép'!I38,'Val-Dép'!I38:Z38,18,FALSE),"")</f>
        <v/>
      </c>
      <c r="I275" s="2752"/>
      <c r="J275" s="1087"/>
      <c r="K275" s="1641"/>
      <c r="L275" s="1081"/>
      <c r="M275" s="1503"/>
      <c r="N275" s="1503"/>
      <c r="O275" s="1608">
        <f>IF(ISNA(VLOOKUP($M$274,'Val-Dép'!E14:Y14,12,FALSE)),,VLOOKUP($M$274,'Val-Dép'!E14:Y14,12,FALSE))</f>
        <v>0</v>
      </c>
      <c r="P275" s="1601">
        <v>14</v>
      </c>
      <c r="Q275" s="1516"/>
      <c r="R275" s="1499"/>
    </row>
    <row r="276" spans="1:46" s="1535" customFormat="1" ht="14.1" customHeight="1" x14ac:dyDescent="0.3">
      <c r="B276" s="1087"/>
      <c r="C276" s="1482"/>
      <c r="D276" s="1081"/>
      <c r="E276" s="1171"/>
      <c r="F276" s="1499"/>
      <c r="G276" s="1081"/>
      <c r="H276" s="1597" t="str">
        <f>IF(('Val-Dép'!I39="Livres"),VLOOKUP('Val-Dép'!I39,'Val-Dép'!I39:Z39,18,FALSE),"")</f>
        <v/>
      </c>
      <c r="I276" s="2752"/>
      <c r="J276" s="1087"/>
      <c r="K276" s="1641"/>
      <c r="L276" s="1081"/>
      <c r="M276" s="1611"/>
      <c r="N276" s="1611"/>
      <c r="O276" s="1608">
        <f>IF(ISNA(VLOOKUP($M$274,'Val-Dép'!E15:Y15,12,FALSE)),,VLOOKUP($M$274,'Val-Dép'!E15:Y15,12,FALSE))</f>
        <v>0</v>
      </c>
      <c r="P276" s="1610">
        <v>15</v>
      </c>
      <c r="Q276" s="1516"/>
      <c r="R276" s="1499"/>
      <c r="AO276" s="1087"/>
      <c r="AP276" s="1087"/>
      <c r="AQ276" s="1087"/>
      <c r="AR276" s="1087"/>
      <c r="AS276" s="1087"/>
      <c r="AT276" s="1087"/>
    </row>
    <row r="277" spans="1:46" ht="14.1" customHeight="1" x14ac:dyDescent="0.3">
      <c r="A277" s="1535"/>
      <c r="C277" s="1482"/>
      <c r="E277" s="1171"/>
      <c r="F277" s="1499"/>
      <c r="G277" s="1081"/>
      <c r="H277" s="1597" t="str">
        <f>IF(('Val-Dép'!I40="Livres"),VLOOKUP('Val-Dép'!I40,'Val-Dép'!I40:Z40,18,FALSE),"")</f>
        <v/>
      </c>
      <c r="I277" s="2752"/>
      <c r="K277" s="1641"/>
      <c r="M277" s="1611"/>
      <c r="N277" s="1611"/>
      <c r="O277" s="1608">
        <f>IF(ISNA(VLOOKUP($M$274,'Val-Dép'!E16:Y16,12,FALSE)),,VLOOKUP($M$274,'Val-Dép'!E16:Y16,12,FALSE))</f>
        <v>0</v>
      </c>
      <c r="P277" s="1610">
        <v>16</v>
      </c>
      <c r="Q277" s="1162"/>
      <c r="R277" s="1081"/>
      <c r="V277" s="1535"/>
      <c r="W277" s="1535"/>
      <c r="AC277" s="1535"/>
      <c r="AD277" s="1535"/>
      <c r="AE277" s="1535"/>
      <c r="AF277" s="1535"/>
      <c r="AG277" s="1535"/>
      <c r="AH277" s="1535"/>
      <c r="AI277" s="1535"/>
      <c r="AJ277" s="1535"/>
      <c r="AK277" s="1535"/>
    </row>
    <row r="278" spans="1:46" ht="14.1" customHeight="1" thickBot="1" x14ac:dyDescent="0.35">
      <c r="A278" s="1535"/>
      <c r="C278" s="1482"/>
      <c r="D278" s="1636" t="s">
        <v>173</v>
      </c>
      <c r="E278" s="1171"/>
      <c r="F278" s="1393"/>
      <c r="G278" s="1081"/>
      <c r="H278" s="1648" t="str">
        <f>IF(('Val-Dép'!I45="Livres"),VLOOKUP('Val-Dép'!I45,'Val-Dép'!I45:Z45,18,FALSE),"")</f>
        <v/>
      </c>
      <c r="I278" s="2757"/>
      <c r="K278" s="1641"/>
      <c r="M278" s="1611"/>
      <c r="N278" s="1611"/>
      <c r="O278" s="1608">
        <f>IF(ISNA(VLOOKUP($M$274,'Val-Dép'!E17:Y17,12,FALSE)),,VLOOKUP($M$274,'Val-Dép'!E17:Y17,12,FALSE))</f>
        <v>0</v>
      </c>
      <c r="P278" s="1610">
        <v>17</v>
      </c>
      <c r="Q278" s="1162"/>
      <c r="R278" s="1081"/>
      <c r="AC278" s="1535"/>
      <c r="AD278" s="1535"/>
      <c r="AE278" s="1535"/>
      <c r="AF278" s="1535"/>
      <c r="AG278" s="1535"/>
      <c r="AH278" s="1535"/>
    </row>
    <row r="279" spans="1:46" ht="14.1" customHeight="1" x14ac:dyDescent="0.3">
      <c r="A279" s="1535"/>
      <c r="C279" s="1482"/>
      <c r="D279" s="1635"/>
      <c r="E279" s="1171"/>
      <c r="F279" s="1393"/>
      <c r="G279" s="1081"/>
      <c r="K279" s="1641"/>
      <c r="M279" s="1611"/>
      <c r="N279" s="1611"/>
      <c r="O279" s="1608">
        <f>IF(ISNA(VLOOKUP($M$274,'Val-Dép'!E18:Y18,12,FALSE)),,VLOOKUP($M$274,'Val-Dép'!E18:Y18,12,FALSE))</f>
        <v>0</v>
      </c>
      <c r="P279" s="1610">
        <v>18</v>
      </c>
      <c r="Q279" s="1162"/>
      <c r="R279" s="1081"/>
      <c r="AC279" s="1535"/>
      <c r="AD279" s="1535"/>
      <c r="AE279" s="1535"/>
      <c r="AF279" s="1535"/>
      <c r="AG279" s="1535"/>
      <c r="AH279" s="1535"/>
    </row>
    <row r="280" spans="1:46" ht="14.1" customHeight="1" x14ac:dyDescent="0.3">
      <c r="A280" s="1535"/>
      <c r="C280" s="1482"/>
      <c r="D280" s="1637"/>
      <c r="E280" s="1171"/>
      <c r="F280" s="1136"/>
      <c r="K280" s="1641"/>
      <c r="M280" s="1611"/>
      <c r="N280" s="1611"/>
      <c r="O280" s="1608">
        <f>IF(ISNA(VLOOKUP($M$274,'Val-Dép'!E19:Y19,12,FALSE)),,VLOOKUP($M$274,'Val-Dép'!E19:Y19,12,FALSE))</f>
        <v>0</v>
      </c>
      <c r="P280" s="1610">
        <v>19</v>
      </c>
      <c r="Q280" s="1162"/>
      <c r="R280" s="1081"/>
      <c r="AC280" s="1535"/>
      <c r="AD280" s="1535"/>
      <c r="AE280" s="1535"/>
      <c r="AF280" s="1535"/>
      <c r="AG280" s="1535"/>
      <c r="AH280" s="1535"/>
    </row>
    <row r="281" spans="1:46" ht="14.1" customHeight="1" x14ac:dyDescent="0.3">
      <c r="A281" s="1535"/>
      <c r="C281" s="1482"/>
      <c r="D281" s="1637"/>
      <c r="E281" s="1171"/>
      <c r="F281" s="1136"/>
      <c r="K281" s="1641"/>
      <c r="M281" s="1611"/>
      <c r="N281" s="1611"/>
      <c r="O281" s="1608">
        <f>IF(ISNA(VLOOKUP($M$274,'Val-Dép'!E20:Y20,12,FALSE)),,VLOOKUP($M$274,'Val-Dép'!E20:Y20,12,FALSE))</f>
        <v>0</v>
      </c>
      <c r="P281" s="1610">
        <v>20</v>
      </c>
      <c r="Q281" s="1162"/>
      <c r="R281" s="1081"/>
      <c r="AE281" s="1535"/>
      <c r="AF281" s="1535"/>
      <c r="AG281" s="1535"/>
      <c r="AH281" s="1535"/>
    </row>
    <row r="282" spans="1:46" ht="14.1" customHeight="1" x14ac:dyDescent="0.25">
      <c r="C282" s="1482"/>
      <c r="D282" s="1637"/>
      <c r="F282" s="1136"/>
      <c r="H282" s="1080" t="s">
        <v>2049</v>
      </c>
      <c r="I282" s="2714"/>
      <c r="K282" s="1641"/>
      <c r="M282" s="1611"/>
      <c r="N282" s="1611"/>
      <c r="O282" s="1608">
        <f>IF(ISNA(VLOOKUP($M$274,'Val-Dép'!E21:Y21,12,FALSE)),,VLOOKUP($M$274,'Val-Dép'!E21:Y21,12,FALSE))</f>
        <v>0</v>
      </c>
      <c r="P282" s="1610">
        <v>21</v>
      </c>
      <c r="Q282" s="1162"/>
      <c r="R282" s="1081"/>
    </row>
    <row r="283" spans="1:46" ht="14.1" customHeight="1" thickBot="1" x14ac:dyDescent="0.35">
      <c r="C283" s="1482"/>
      <c r="D283" s="1637"/>
      <c r="E283" s="1183" t="s">
        <v>185</v>
      </c>
      <c r="F283" s="1136"/>
      <c r="G283" s="1180" t="s">
        <v>186</v>
      </c>
      <c r="H283" s="1474">
        <v>4110</v>
      </c>
      <c r="I283" s="2756" t="s">
        <v>173</v>
      </c>
      <c r="J283" s="1183" t="s">
        <v>185</v>
      </c>
      <c r="K283" s="1641"/>
      <c r="M283" s="1611"/>
      <c r="N283" s="1611"/>
      <c r="O283" s="1608">
        <f>IF(ISNA(VLOOKUP($M$274,'Val-Dép'!E22:Y22,12,FALSE)),,VLOOKUP($M$274,'Val-Dép'!E22:Y22,12,FALSE))</f>
        <v>0</v>
      </c>
      <c r="P283" s="1610">
        <v>22</v>
      </c>
      <c r="Q283" s="1162"/>
      <c r="R283" s="1081"/>
    </row>
    <row r="284" spans="1:46" ht="14.1" customHeight="1" thickBot="1" x14ac:dyDescent="0.3">
      <c r="C284" s="1482"/>
      <c r="D284" s="1638"/>
      <c r="E284" s="1171"/>
      <c r="F284" s="1136"/>
      <c r="H284" s="1645" t="str">
        <f>IF(('Val-Dép'!I35="Pub."),VLOOKUP('Val-Dép'!I35,'Val-Dép'!I35:Z35,18,FALSE),"")</f>
        <v/>
      </c>
      <c r="I284" s="2751"/>
      <c r="K284" s="1641"/>
      <c r="M284" s="1512"/>
      <c r="N284" s="1512"/>
      <c r="O284" s="1628">
        <f>IF(ISNA(VLOOKUP($M$274,'Val-Dép'!E23:Y23,12,FALSE)),,VLOOKUP($M$274,'Val-Dép'!E23:Y23,12,FALSE))</f>
        <v>0</v>
      </c>
      <c r="P284" s="1610">
        <v>23</v>
      </c>
      <c r="Q284" s="1162"/>
      <c r="R284" s="1081"/>
    </row>
    <row r="285" spans="1:46" ht="14.1" customHeight="1" thickBot="1" x14ac:dyDescent="0.3">
      <c r="C285" s="1482"/>
      <c r="D285" s="1081"/>
      <c r="E285" s="1171"/>
      <c r="F285" s="1136"/>
      <c r="H285" s="1597" t="str">
        <f>IF(('Val-Dép'!I36="Pub."),VLOOKUP('Val-Dép'!I36,'Val-Dép'!I36:Z36,18,FALSE),"")</f>
        <v/>
      </c>
      <c r="I285" s="2752"/>
      <c r="K285" s="1641"/>
      <c r="M285" s="1649"/>
      <c r="N285" s="1649"/>
      <c r="O285" s="1650">
        <f>IF(ISNA(VLOOKUP($M$274,'Val-Dép'!E24:Y24,12,FALSE)),,VLOOKUP($M$274,'Val-Dép'!E24:Y24,12,FALSE))</f>
        <v>0</v>
      </c>
      <c r="Q285" s="1162"/>
      <c r="R285" s="1081"/>
    </row>
    <row r="286" spans="1:46" ht="14.1" customHeight="1" x14ac:dyDescent="0.25">
      <c r="C286" s="1482"/>
      <c r="D286" s="1081"/>
      <c r="E286" s="1171"/>
      <c r="F286" s="1136"/>
      <c r="H286" s="1597" t="str">
        <f>IF(('Val-Dép'!I37="Pub."),VLOOKUP('Val-Dép'!I37,'Val-Dép'!I37:Z37,18,FALSE),"")</f>
        <v/>
      </c>
      <c r="I286" s="2752"/>
      <c r="K286" s="1641"/>
      <c r="O286" s="1482"/>
      <c r="Q286" s="1162"/>
      <c r="R286" s="1081"/>
    </row>
    <row r="287" spans="1:46" ht="14.1" customHeight="1" x14ac:dyDescent="0.25">
      <c r="C287" s="1482"/>
      <c r="D287" s="1081"/>
      <c r="E287" s="1171"/>
      <c r="F287" s="1136"/>
      <c r="H287" s="1597" t="str">
        <f>IF(('Val-Dép'!I38="Pub."),VLOOKUP('Val-Dép'!I38,'Val-Dép'!I38:Z38,18,FALSE),"")</f>
        <v/>
      </c>
      <c r="I287" s="2752"/>
      <c r="K287" s="1641"/>
      <c r="O287" s="1482"/>
      <c r="Q287" s="1162"/>
      <c r="R287" s="1081"/>
    </row>
    <row r="288" spans="1:46" ht="14.1" customHeight="1" x14ac:dyDescent="0.25">
      <c r="C288" s="1482"/>
      <c r="D288" s="1081"/>
      <c r="E288" s="1171"/>
      <c r="F288" s="1136"/>
      <c r="H288" s="1597" t="str">
        <f>IF(('Val-Dép'!I39="Pub."),VLOOKUP('Val-Dép'!I39,'Val-Dép'!I39:Z39,18,FALSE),"")</f>
        <v/>
      </c>
      <c r="I288" s="2752"/>
      <c r="K288" s="1641"/>
      <c r="Q288" s="1162"/>
      <c r="R288" s="1081"/>
    </row>
    <row r="289" spans="2:24" ht="14.1" customHeight="1" thickBot="1" x14ac:dyDescent="0.3">
      <c r="C289" s="1482"/>
      <c r="D289" s="1081"/>
      <c r="E289" s="1171"/>
      <c r="F289" s="1136"/>
      <c r="H289" s="1648" t="str">
        <f>IF(('Val-Dép'!I45="Pub."),VLOOKUP('Val-Dép'!I45,'Val-Dép'!I45:Z45,18,FALSE),"")</f>
        <v/>
      </c>
      <c r="I289" s="2757"/>
      <c r="K289" s="1641"/>
      <c r="P289" s="1171"/>
      <c r="Q289" s="1162"/>
      <c r="R289" s="1081"/>
    </row>
    <row r="290" spans="2:24" ht="14.1" customHeight="1" thickBot="1" x14ac:dyDescent="0.35">
      <c r="B290" s="1081"/>
      <c r="C290" s="1482"/>
      <c r="D290" s="1081"/>
      <c r="E290" s="1171"/>
      <c r="F290" s="1136"/>
      <c r="H290" s="1630"/>
      <c r="I290" s="2706"/>
      <c r="K290" s="1641"/>
      <c r="M290" s="1482"/>
      <c r="N290" s="1482"/>
      <c r="O290" s="1652" t="s">
        <v>2047</v>
      </c>
      <c r="P290" s="1183" t="s">
        <v>193</v>
      </c>
      <c r="Q290" s="1162"/>
      <c r="R290" s="1081"/>
    </row>
    <row r="291" spans="2:24" ht="14.1" customHeight="1" thickBot="1" x14ac:dyDescent="0.35">
      <c r="B291" s="1081"/>
      <c r="C291" s="1482"/>
      <c r="D291" s="1081"/>
      <c r="E291" s="1171"/>
      <c r="F291" s="1136"/>
      <c r="H291" s="1630"/>
      <c r="I291" s="2706"/>
      <c r="K291" s="1641"/>
      <c r="L291" s="1651" t="s">
        <v>186</v>
      </c>
      <c r="M291" s="1498">
        <v>486</v>
      </c>
      <c r="N291" s="1498"/>
      <c r="O291" s="1603">
        <f>IF(ISNA(VLOOKUP($O$290,'Val-Dép'!I13:Y13,13,FALSE)),,VLOOKUP($O$290,'Val-Dép'!I13:Y13,13,FALSE))</f>
        <v>0</v>
      </c>
      <c r="P291" s="1601">
        <v>13</v>
      </c>
      <c r="Q291" s="1162"/>
      <c r="R291" s="1081"/>
    </row>
    <row r="292" spans="2:24" ht="14.1" customHeight="1" x14ac:dyDescent="0.25">
      <c r="B292" s="1081"/>
      <c r="C292" s="1482"/>
      <c r="D292" s="1081"/>
      <c r="E292" s="1171"/>
      <c r="F292" s="1136"/>
      <c r="H292" s="1526"/>
      <c r="I292" s="2706"/>
      <c r="K292" s="1641"/>
      <c r="M292" s="1653"/>
      <c r="N292" s="1653"/>
      <c r="O292" s="1608">
        <f>IF(ISNA(VLOOKUP($O$290,'Val-Dép'!I14:Y14,13,FALSE)),,VLOOKUP($O$290,'Val-Dép'!I14:Y14,13,FALSE))</f>
        <v>0</v>
      </c>
      <c r="P292" s="1601">
        <v>14</v>
      </c>
      <c r="Q292" s="1162"/>
      <c r="R292" s="1081"/>
    </row>
    <row r="293" spans="2:24" ht="14.1" customHeight="1" x14ac:dyDescent="0.25">
      <c r="B293" s="1081"/>
      <c r="C293" s="1482"/>
      <c r="D293" s="1081"/>
      <c r="E293" s="1171"/>
      <c r="F293" s="1136"/>
      <c r="H293" s="1526"/>
      <c r="I293" s="2706"/>
      <c r="K293" s="1641"/>
      <c r="M293" s="1611"/>
      <c r="N293" s="1611"/>
      <c r="O293" s="1608">
        <f>IF(ISNA(VLOOKUP($O$290,'Val-Dép'!I15:Y15,13,FALSE)),,VLOOKUP($O$290,'Val-Dép'!I15:Y15,13,FALSE))</f>
        <v>0</v>
      </c>
      <c r="P293" s="1610">
        <v>15</v>
      </c>
      <c r="Q293" s="1162"/>
      <c r="R293" s="1081"/>
      <c r="S293" s="1654"/>
      <c r="T293" s="1162"/>
      <c r="U293" s="1162"/>
      <c r="X293" s="1081"/>
    </row>
    <row r="294" spans="2:24" ht="14.1" customHeight="1" x14ac:dyDescent="0.3">
      <c r="B294" s="1499"/>
      <c r="C294" s="1482"/>
      <c r="D294" s="1081"/>
      <c r="E294" s="1171"/>
      <c r="F294" s="1136"/>
      <c r="H294" s="1139" t="s">
        <v>2049</v>
      </c>
      <c r="I294" s="2749"/>
      <c r="K294" s="1641"/>
      <c r="M294" s="1611"/>
      <c r="N294" s="1611"/>
      <c r="O294" s="1608">
        <f>IF(ISNA(VLOOKUP($O$290,'Val-Dép'!I16:Y16,13,FALSE)),,VLOOKUP($O$290,'Val-Dép'!I16:Y16,13,FALSE))</f>
        <v>0</v>
      </c>
      <c r="P294" s="1610">
        <v>16</v>
      </c>
      <c r="Q294" s="1655"/>
      <c r="R294" s="1655"/>
      <c r="S294" s="1655"/>
      <c r="T294" s="1655"/>
      <c r="U294" s="1655"/>
      <c r="V294" s="1081"/>
      <c r="W294" s="1081"/>
      <c r="X294" s="1655"/>
    </row>
    <row r="295" spans="2:24" ht="14.1" customHeight="1" thickBot="1" x14ac:dyDescent="0.35">
      <c r="B295" s="1499"/>
      <c r="C295" s="1482"/>
      <c r="D295" s="1081"/>
      <c r="E295" s="1171"/>
      <c r="F295" s="1136"/>
      <c r="G295" s="1180" t="s">
        <v>186</v>
      </c>
      <c r="H295" s="1474">
        <v>4110</v>
      </c>
      <c r="I295" s="2756" t="s">
        <v>218</v>
      </c>
      <c r="J295" s="1183" t="s">
        <v>185</v>
      </c>
      <c r="K295" s="1641"/>
      <c r="M295" s="1611"/>
      <c r="N295" s="1611"/>
      <c r="O295" s="1608">
        <f>IF(ISNA(VLOOKUP($O$290,'Val-Dép'!I17:Y17,13,FALSE)),,VLOOKUP($O$290,'Val-Dép'!I17:Y17,13,FALSE))</f>
        <v>0</v>
      </c>
      <c r="P295" s="1610">
        <v>17</v>
      </c>
      <c r="Q295" s="1162"/>
      <c r="R295" s="1081"/>
      <c r="S295" s="1654"/>
      <c r="T295" s="1162"/>
      <c r="U295" s="1162"/>
      <c r="V295" s="1655"/>
      <c r="W295" s="1655"/>
    </row>
    <row r="296" spans="2:24" ht="14.1" customHeight="1" x14ac:dyDescent="0.3">
      <c r="B296" s="1499"/>
      <c r="C296" s="1482"/>
      <c r="D296" s="1081"/>
      <c r="E296" s="1171"/>
      <c r="F296" s="1136"/>
      <c r="G296" s="1087">
        <v>35</v>
      </c>
      <c r="H296" s="1645">
        <f>IF(('Val-Dép'!I35="Mobilier"),VLOOKUP('Val-Dép'!I35,'Val-Dép'!I35:Z35,18,FALSE),"")</f>
        <v>0</v>
      </c>
      <c r="I296" s="2751"/>
      <c r="K296" s="1641"/>
      <c r="M296" s="1611"/>
      <c r="N296" s="1611"/>
      <c r="O296" s="1608">
        <f>IF(ISNA(VLOOKUP($O$290,'Val-Dép'!I18:Y18,13,FALSE)),,VLOOKUP($O$290,'Val-Dép'!I18:Y18,13,FALSE))</f>
        <v>0</v>
      </c>
      <c r="P296" s="1610">
        <v>18</v>
      </c>
      <c r="Q296" s="1162"/>
      <c r="R296" s="1081"/>
      <c r="S296" s="1654"/>
      <c r="T296" s="1162"/>
      <c r="U296" s="1162"/>
    </row>
    <row r="297" spans="2:24" ht="14.1" customHeight="1" x14ac:dyDescent="0.3">
      <c r="B297" s="1499"/>
      <c r="C297" s="1482"/>
      <c r="D297" s="1081"/>
      <c r="E297" s="1171"/>
      <c r="F297" s="1136"/>
      <c r="G297" s="1087">
        <v>36</v>
      </c>
      <c r="H297" s="1597" t="str">
        <f>IF(('Val-Dép'!I36="Mobilier"),VLOOKUP('Val-Dép'!I36,'Val-Dép'!I36:Z36,18,FALSE),"")</f>
        <v/>
      </c>
      <c r="I297" s="2752"/>
      <c r="K297" s="1641"/>
      <c r="M297" s="1611"/>
      <c r="N297" s="1611"/>
      <c r="O297" s="1608">
        <f>IF(ISNA(VLOOKUP($O$290,'Val-Dép'!I19:Y19,13,FALSE)),,VLOOKUP($O$290,'Val-Dép'!I19:Y19,13,FALSE))</f>
        <v>0</v>
      </c>
      <c r="P297" s="1610">
        <v>19</v>
      </c>
      <c r="Q297" s="1162"/>
      <c r="R297" s="1162"/>
      <c r="S297" s="1654"/>
      <c r="T297" s="1162"/>
      <c r="U297" s="1081"/>
    </row>
    <row r="298" spans="2:24" ht="14.1" customHeight="1" x14ac:dyDescent="0.3">
      <c r="B298" s="1499"/>
      <c r="C298" s="1482"/>
      <c r="D298" s="1081"/>
      <c r="E298" s="1171"/>
      <c r="F298" s="1136"/>
      <c r="G298" s="1087">
        <v>37</v>
      </c>
      <c r="H298" s="1597" t="str">
        <f>IF(('Val-Dép'!I37="Mobilier"),VLOOKUP('Val-Dép'!I37,'Val-Dép'!I37:Z37,18,FALSE),"")</f>
        <v/>
      </c>
      <c r="I298" s="2752"/>
      <c r="K298" s="1641"/>
      <c r="L298" s="1639"/>
      <c r="M298" s="1656"/>
      <c r="N298" s="1656"/>
      <c r="O298" s="1608">
        <f>IF(ISNA(VLOOKUP($O$290,'Val-Dép'!I20:Y20,13,FALSE)),,VLOOKUP($O$290,'Val-Dép'!I20:Y20,13,FALSE))</f>
        <v>0</v>
      </c>
      <c r="P298" s="1610">
        <v>20</v>
      </c>
      <c r="Q298" s="1162"/>
      <c r="R298" s="1162"/>
      <c r="S298" s="1654"/>
      <c r="T298" s="1162"/>
      <c r="U298" s="1081"/>
    </row>
    <row r="299" spans="2:24" ht="14.1" customHeight="1" x14ac:dyDescent="0.3">
      <c r="B299" s="1499"/>
      <c r="C299" s="1482"/>
      <c r="D299" s="1081"/>
      <c r="E299" s="1171"/>
      <c r="F299" s="1136"/>
      <c r="G299" s="1087">
        <v>38</v>
      </c>
      <c r="H299" s="1597" t="str">
        <f>IF(('Val-Dép'!I38="Mobilier"),VLOOKUP('Val-Dép'!I38,'Val-Dép'!I38:Z38,18,FALSE),"")</f>
        <v/>
      </c>
      <c r="I299" s="2752"/>
      <c r="K299" s="1658"/>
      <c r="L299" s="1499"/>
      <c r="M299" s="1657"/>
      <c r="N299" s="1657"/>
      <c r="O299" s="1608">
        <f>IF(ISNA(VLOOKUP($O$290,'Val-Dép'!I21:Y21,13,FALSE)),,VLOOKUP($O$290,'Val-Dép'!I21:Y21,13,FALSE))</f>
        <v>0</v>
      </c>
      <c r="P299" s="1610">
        <v>21</v>
      </c>
      <c r="Q299" s="1162"/>
      <c r="R299" s="1162"/>
      <c r="S299" s="1654"/>
      <c r="T299" s="1162"/>
      <c r="U299" s="1081"/>
    </row>
    <row r="300" spans="2:24" ht="14.1" customHeight="1" x14ac:dyDescent="0.3">
      <c r="B300" s="1499"/>
      <c r="C300" s="1482"/>
      <c r="D300" s="1081"/>
      <c r="E300" s="1171"/>
      <c r="F300" s="1136"/>
      <c r="G300" s="1087">
        <v>39</v>
      </c>
      <c r="H300" s="1597" t="str">
        <f>IF(('Val-Dép'!I39="Mobilier"),VLOOKUP('Val-Dép'!I39,'Val-Dép'!I39:Z39,18,FALSE),"")</f>
        <v/>
      </c>
      <c r="I300" s="2752"/>
      <c r="K300" s="1660"/>
      <c r="L300" s="1499"/>
      <c r="M300" s="1657"/>
      <c r="N300" s="1657"/>
      <c r="O300" s="1608">
        <f>IF(ISNA(VLOOKUP($O$290,'Val-Dép'!I22:Y22,13,FALSE)),,VLOOKUP($O$290,'Val-Dép'!I22:Y22,13,FALSE))</f>
        <v>0</v>
      </c>
      <c r="P300" s="1610">
        <v>22</v>
      </c>
      <c r="Q300" s="1162"/>
      <c r="R300" s="1162"/>
      <c r="S300" s="1654"/>
      <c r="T300" s="1162"/>
      <c r="U300" s="1081"/>
    </row>
    <row r="301" spans="2:24" ht="14.1" customHeight="1" thickBot="1" x14ac:dyDescent="0.35">
      <c r="B301" s="1499"/>
      <c r="C301" s="1482"/>
      <c r="D301" s="1081"/>
      <c r="E301" s="1171"/>
      <c r="F301" s="1136"/>
      <c r="G301" s="1087">
        <v>40</v>
      </c>
      <c r="H301" s="1597" t="str">
        <f>IF(('Val-Dép'!I40="Mobilier"),VLOOKUP('Val-Dép'!I40,'Val-Dép'!I40:Z40,18,FALSE),"")</f>
        <v/>
      </c>
      <c r="I301" s="2752"/>
      <c r="K301" s="1660"/>
      <c r="L301" s="1499"/>
      <c r="M301" s="1657"/>
      <c r="N301" s="1657"/>
      <c r="O301" s="1628">
        <f>IF(ISNA(VLOOKUP($O$290,'Val-Dép'!I23:Y23,13,FALSE)),,VLOOKUP($O$290,'Val-Dép'!I23:Y23,13,FALSE))</f>
        <v>0</v>
      </c>
      <c r="P301" s="1610">
        <v>23</v>
      </c>
      <c r="Q301" s="1162"/>
      <c r="R301" s="1162"/>
      <c r="S301" s="1654"/>
      <c r="T301" s="1162"/>
      <c r="U301" s="1081"/>
    </row>
    <row r="302" spans="2:24" ht="14.1" customHeight="1" thickBot="1" x14ac:dyDescent="0.35">
      <c r="B302" s="1499"/>
      <c r="C302" s="1482"/>
      <c r="D302" s="1081"/>
      <c r="E302" s="1171"/>
      <c r="F302" s="1136"/>
      <c r="G302" s="1087">
        <v>41</v>
      </c>
      <c r="H302" s="1597" t="str">
        <f>IF(('Val-Dép'!I41="Mobilier"),VLOOKUP('Val-Dép'!I41,'Val-Dép'!I41:Z41,18,FALSE),"")</f>
        <v/>
      </c>
      <c r="I302" s="2752"/>
      <c r="K302" s="1660"/>
      <c r="L302" s="1499"/>
      <c r="M302" s="1661"/>
      <c r="N302" s="1661"/>
      <c r="O302" s="1499"/>
      <c r="P302" s="1535"/>
      <c r="Q302" s="1162"/>
      <c r="R302" s="1162"/>
      <c r="S302" s="1654"/>
      <c r="T302" s="1162"/>
      <c r="U302" s="1081"/>
    </row>
    <row r="303" spans="2:24" ht="14.1" customHeight="1" x14ac:dyDescent="0.3">
      <c r="B303" s="1499"/>
      <c r="C303" s="1659"/>
      <c r="D303" s="1081"/>
      <c r="E303" s="1171"/>
      <c r="F303" s="1136"/>
      <c r="G303" s="1087">
        <v>42</v>
      </c>
      <c r="H303" s="1597" t="str">
        <f>IF(('Val-Dép'!I42="Mobilier"),VLOOKUP('Val-Dép'!I42,'Val-Dép'!I42:Z42,18,FALSE),"")</f>
        <v/>
      </c>
      <c r="I303" s="2752"/>
      <c r="K303" s="1660"/>
      <c r="L303" s="1499"/>
      <c r="M303" s="1499"/>
      <c r="N303" s="1499"/>
      <c r="O303" s="1499"/>
      <c r="P303" s="1535"/>
      <c r="Q303" s="1162"/>
      <c r="R303" s="1162"/>
      <c r="S303" s="1654"/>
      <c r="T303" s="1162"/>
      <c r="U303" s="1081"/>
    </row>
    <row r="304" spans="2:24" ht="14.1" customHeight="1" x14ac:dyDescent="0.3">
      <c r="B304" s="1499"/>
      <c r="C304" s="1659"/>
      <c r="D304" s="1081"/>
      <c r="E304" s="1171"/>
      <c r="F304" s="1136"/>
      <c r="G304" s="1087">
        <v>43</v>
      </c>
      <c r="H304" s="1597" t="str">
        <f>IF(('Val-Dép'!I43="Mobilier"),VLOOKUP('Val-Dép'!I43,'Val-Dép'!I43:Z43,18,FALSE),"")</f>
        <v/>
      </c>
      <c r="I304" s="2752"/>
      <c r="K304" s="1660"/>
      <c r="L304" s="1499"/>
      <c r="M304" s="1574"/>
      <c r="N304" s="1574"/>
      <c r="O304" s="1574"/>
      <c r="P304" s="1535"/>
      <c r="Q304" s="1162"/>
      <c r="R304" s="1162"/>
      <c r="S304" s="1654"/>
      <c r="T304" s="1162"/>
      <c r="U304" s="1081"/>
    </row>
    <row r="305" spans="4:21" ht="14.1" customHeight="1" x14ac:dyDescent="0.3">
      <c r="D305" s="1081"/>
      <c r="E305" s="1171"/>
      <c r="F305" s="1136"/>
      <c r="G305" s="1087">
        <v>44</v>
      </c>
      <c r="H305" s="1597" t="str">
        <f>IF(('Val-Dép'!I44="Mobilier"),VLOOKUP('Val-Dép'!I44,'Val-Dép'!I44:Z44,18,FALSE),"")</f>
        <v/>
      </c>
      <c r="I305" s="2752"/>
      <c r="K305" s="1660"/>
      <c r="L305" s="1499"/>
      <c r="M305" s="1499"/>
      <c r="N305" s="1499"/>
      <c r="O305" s="1574"/>
      <c r="P305" s="1535"/>
      <c r="Q305" s="1162"/>
      <c r="R305" s="1162"/>
      <c r="S305" s="1654"/>
      <c r="T305" s="1162"/>
      <c r="U305" s="1081"/>
    </row>
    <row r="306" spans="4:21" ht="14.1" customHeight="1" thickBot="1" x14ac:dyDescent="0.35">
      <c r="D306" s="1081"/>
      <c r="E306" s="1171"/>
      <c r="F306" s="1136"/>
      <c r="G306" s="1087">
        <v>45</v>
      </c>
      <c r="H306" s="1648" t="str">
        <f>IF(('Val-Dép'!I45="Mobilier"),VLOOKUP('Val-Dép'!I45,'Val-Dép'!I45:Z45,18,FALSE),"")</f>
        <v/>
      </c>
      <c r="I306" s="2757"/>
      <c r="K306" s="1660"/>
      <c r="L306" s="1499"/>
      <c r="M306" s="1499"/>
      <c r="N306" s="1499"/>
      <c r="O306" s="1574"/>
      <c r="P306" s="1535"/>
      <c r="Q306" s="1162"/>
      <c r="R306" s="1162"/>
      <c r="S306" s="1654"/>
      <c r="T306" s="1162"/>
      <c r="U306" s="1081"/>
    </row>
    <row r="307" spans="4:21" ht="14.1" customHeight="1" x14ac:dyDescent="0.3">
      <c r="D307" s="1081"/>
      <c r="E307" s="1171"/>
      <c r="F307" s="1136"/>
      <c r="H307" s="1630"/>
      <c r="I307" s="2706"/>
      <c r="K307" s="1660"/>
      <c r="L307" s="1499"/>
      <c r="M307" s="1499"/>
      <c r="N307" s="1499"/>
      <c r="O307" s="1574"/>
      <c r="P307" s="1535"/>
      <c r="Q307" s="1162"/>
      <c r="R307" s="1162"/>
      <c r="S307" s="1654"/>
      <c r="T307" s="1162"/>
      <c r="U307" s="1081"/>
    </row>
    <row r="308" spans="4:21" ht="14.1" customHeight="1" x14ac:dyDescent="0.3">
      <c r="D308" s="1081"/>
      <c r="E308" s="1171"/>
      <c r="F308" s="1136"/>
      <c r="H308" s="1526"/>
      <c r="I308" s="2706"/>
      <c r="K308" s="1660"/>
      <c r="L308" s="1499"/>
      <c r="M308" s="1499"/>
      <c r="N308" s="1499"/>
      <c r="O308" s="1574"/>
      <c r="P308" s="1535"/>
      <c r="Q308" s="1162"/>
      <c r="R308" s="1162"/>
      <c r="S308" s="1654"/>
      <c r="T308" s="1162"/>
      <c r="U308" s="1081"/>
    </row>
    <row r="309" spans="4:21" ht="14.1" customHeight="1" x14ac:dyDescent="0.3">
      <c r="D309" s="1081"/>
      <c r="E309" s="1171"/>
      <c r="F309" s="1136"/>
      <c r="H309" s="1526"/>
      <c r="I309" s="2706"/>
      <c r="K309" s="1660"/>
      <c r="L309" s="1499"/>
      <c r="M309" s="1499"/>
      <c r="N309" s="1499"/>
      <c r="O309" s="1574"/>
      <c r="P309" s="1535"/>
      <c r="Q309" s="1162"/>
      <c r="R309" s="1162"/>
      <c r="S309" s="1654"/>
      <c r="T309" s="1162"/>
      <c r="U309" s="1081"/>
    </row>
    <row r="310" spans="4:21" ht="14.1" customHeight="1" x14ac:dyDescent="0.3">
      <c r="D310" s="1081"/>
      <c r="E310" s="1171"/>
      <c r="F310" s="1136"/>
      <c r="H310" s="1526"/>
      <c r="I310" s="2706"/>
      <c r="K310" s="1662"/>
      <c r="L310" s="1499"/>
      <c r="M310" s="1499"/>
      <c r="N310" s="1499"/>
      <c r="O310" s="1574"/>
      <c r="P310" s="1535"/>
      <c r="Q310" s="1162"/>
      <c r="R310" s="1162"/>
      <c r="S310" s="1654"/>
      <c r="T310" s="1162"/>
      <c r="U310" s="1081"/>
    </row>
    <row r="311" spans="4:21" ht="14.1" customHeight="1" x14ac:dyDescent="0.3">
      <c r="D311" s="1081"/>
      <c r="E311" s="1171"/>
      <c r="F311" s="1136"/>
      <c r="H311" s="1080" t="s">
        <v>2049</v>
      </c>
      <c r="I311" s="2714"/>
      <c r="K311" s="1662"/>
      <c r="L311" s="1499"/>
      <c r="M311" s="1499"/>
      <c r="N311" s="1499"/>
      <c r="O311" s="1574"/>
      <c r="P311" s="1535"/>
      <c r="Q311" s="1162"/>
      <c r="R311" s="1162"/>
      <c r="S311" s="1654"/>
      <c r="T311" s="1162"/>
      <c r="U311" s="1081"/>
    </row>
    <row r="312" spans="4:21" ht="14.1" customHeight="1" thickBot="1" x14ac:dyDescent="0.35">
      <c r="D312" s="1081"/>
      <c r="E312" s="1171"/>
      <c r="F312" s="1136"/>
      <c r="G312" s="1180" t="s">
        <v>186</v>
      </c>
      <c r="H312" s="1474">
        <v>4110</v>
      </c>
      <c r="I312" s="2756" t="s">
        <v>1698</v>
      </c>
      <c r="J312" s="1183" t="s">
        <v>185</v>
      </c>
      <c r="K312" s="1662"/>
      <c r="L312" s="1499"/>
      <c r="M312" s="1499"/>
      <c r="N312" s="1499"/>
      <c r="O312" s="1574"/>
      <c r="P312" s="1535"/>
      <c r="Q312" s="1162"/>
      <c r="R312" s="1162"/>
      <c r="S312" s="1654"/>
      <c r="T312" s="1162"/>
      <c r="U312" s="1081"/>
    </row>
    <row r="313" spans="4:21" ht="14.1" customHeight="1" x14ac:dyDescent="0.3">
      <c r="D313" s="1081"/>
      <c r="E313" s="1171"/>
      <c r="F313" s="1136"/>
      <c r="G313" s="1087">
        <v>35</v>
      </c>
      <c r="H313" s="1663" t="str">
        <f>IF(('Val-Dép'!I35="Matériel roulant"),VLOOKUP('Val-Dép'!I35,'Val-Dép'!I35:Z35,18,FALSE),"")</f>
        <v/>
      </c>
      <c r="I313" s="2691"/>
      <c r="K313" s="1662"/>
      <c r="L313" s="1499"/>
      <c r="M313" s="1499"/>
      <c r="N313" s="1499"/>
      <c r="O313" s="1574"/>
      <c r="P313" s="1535"/>
      <c r="Q313" s="1162"/>
      <c r="R313" s="1162"/>
      <c r="S313" s="1654"/>
      <c r="T313" s="1162"/>
      <c r="U313" s="1081"/>
    </row>
    <row r="314" spans="4:21" ht="14.1" customHeight="1" x14ac:dyDescent="0.3">
      <c r="D314" s="1081"/>
      <c r="E314" s="1171"/>
      <c r="F314" s="1136"/>
      <c r="G314" s="1087">
        <v>36</v>
      </c>
      <c r="H314" s="1630" t="str">
        <f>IF(('Val-Dép'!I36="Matériel roulant"),VLOOKUP('Val-Dép'!I36,'Val-Dép'!I36:Z36,18,FALSE),"")</f>
        <v/>
      </c>
      <c r="I314" s="2746"/>
      <c r="K314" s="1662"/>
      <c r="L314" s="1499"/>
      <c r="M314" s="1499"/>
      <c r="N314" s="1499"/>
      <c r="O314" s="1574"/>
      <c r="P314" s="1535"/>
      <c r="Q314" s="1162"/>
      <c r="R314" s="1162"/>
      <c r="S314" s="1654"/>
      <c r="T314" s="1162"/>
      <c r="U314" s="1081"/>
    </row>
    <row r="315" spans="4:21" ht="14.1" customHeight="1" x14ac:dyDescent="0.3">
      <c r="D315" s="1081"/>
      <c r="E315" s="1171"/>
      <c r="F315" s="1136"/>
      <c r="G315" s="1087">
        <v>37</v>
      </c>
      <c r="H315" s="1630" t="str">
        <f>IF(('Val-Dép'!I37="Matériel roulant"),VLOOKUP('Val-Dép'!I37,'Val-Dép'!I37:Z37,18,FALSE),"")</f>
        <v/>
      </c>
      <c r="I315" s="2746"/>
      <c r="K315" s="1662"/>
      <c r="L315" s="1499"/>
      <c r="M315" s="1499"/>
      <c r="N315" s="1499"/>
      <c r="O315" s="1574"/>
      <c r="P315" s="1535"/>
      <c r="Q315" s="1162"/>
      <c r="R315" s="1162"/>
      <c r="S315" s="1654"/>
      <c r="T315" s="1162"/>
      <c r="U315" s="1081"/>
    </row>
    <row r="316" spans="4:21" ht="14.1" customHeight="1" x14ac:dyDescent="0.3">
      <c r="D316" s="1081"/>
      <c r="E316" s="1171"/>
      <c r="F316" s="1136"/>
      <c r="G316" s="1087">
        <v>38</v>
      </c>
      <c r="H316" s="1630" t="str">
        <f>IF(('Val-Dép'!I38="Matériel roulant"),VLOOKUP('Val-Dép'!I38,'Val-Dép'!I38:Z38,18,FALSE),"")</f>
        <v/>
      </c>
      <c r="I316" s="2746"/>
      <c r="K316" s="1662"/>
      <c r="L316" s="1499"/>
      <c r="M316" s="1499"/>
      <c r="N316" s="1499"/>
      <c r="O316" s="1574"/>
      <c r="P316" s="1535"/>
      <c r="Q316" s="1162"/>
      <c r="R316" s="1162"/>
      <c r="S316" s="1654"/>
      <c r="T316" s="1162"/>
      <c r="U316" s="1081"/>
    </row>
    <row r="317" spans="4:21" ht="14.1" customHeight="1" x14ac:dyDescent="0.3">
      <c r="D317" s="1081"/>
      <c r="E317" s="1171"/>
      <c r="F317" s="1136"/>
      <c r="G317" s="1087">
        <v>39</v>
      </c>
      <c r="H317" s="1630" t="str">
        <f>IF(('Val-Dép'!I39="Matériel roulant"),VLOOKUP('Val-Dép'!I39,'Val-Dép'!I39:Z39,18,FALSE),"")</f>
        <v/>
      </c>
      <c r="I317" s="2746"/>
      <c r="K317" s="1662"/>
      <c r="L317" s="1499"/>
      <c r="M317" s="1499"/>
      <c r="N317" s="1499"/>
      <c r="O317" s="1574"/>
      <c r="P317" s="1535"/>
      <c r="Q317" s="1162"/>
      <c r="R317" s="1162"/>
      <c r="S317" s="1654"/>
      <c r="T317" s="1162"/>
      <c r="U317" s="1081"/>
    </row>
    <row r="318" spans="4:21" ht="15" customHeight="1" x14ac:dyDescent="0.3">
      <c r="D318" s="1081"/>
      <c r="E318" s="1171"/>
      <c r="F318" s="1136"/>
      <c r="G318" s="1087">
        <v>40</v>
      </c>
      <c r="H318" s="1630" t="str">
        <f>IF(('Val-Dép'!I40="Matériel roulant"),VLOOKUP('Val-Dép'!I40,'Val-Dép'!I40:Z40,18,FALSE),"")</f>
        <v/>
      </c>
      <c r="I318" s="2746"/>
      <c r="K318" s="1662"/>
      <c r="L318" s="1499"/>
      <c r="M318" s="1499"/>
      <c r="N318" s="1499"/>
      <c r="O318" s="1574"/>
      <c r="P318" s="1535"/>
      <c r="Q318" s="1162"/>
      <c r="R318" s="1162"/>
      <c r="S318" s="1654"/>
      <c r="T318" s="1162"/>
      <c r="U318" s="1081"/>
    </row>
    <row r="319" spans="4:21" ht="15" customHeight="1" x14ac:dyDescent="0.3">
      <c r="D319" s="1081"/>
      <c r="E319" s="1171"/>
      <c r="F319" s="1136"/>
      <c r="G319" s="1087">
        <v>41</v>
      </c>
      <c r="H319" s="1630" t="str">
        <f>IF(('Val-Dép'!I41="Matériel roulant"),VLOOKUP('Val-Dép'!I41,'Val-Dép'!I41:Z41,18,FALSE),"")</f>
        <v/>
      </c>
      <c r="I319" s="2746"/>
      <c r="K319" s="1662"/>
      <c r="L319" s="1499"/>
      <c r="M319" s="1499"/>
      <c r="N319" s="1499"/>
      <c r="O319" s="1574"/>
      <c r="P319" s="1535"/>
      <c r="Q319" s="1162"/>
      <c r="R319" s="1162"/>
      <c r="S319" s="1654"/>
      <c r="T319" s="1162"/>
      <c r="U319" s="1081"/>
    </row>
    <row r="320" spans="4:21" ht="15" customHeight="1" x14ac:dyDescent="0.3">
      <c r="D320" s="1081"/>
      <c r="E320" s="1171"/>
      <c r="F320" s="1136"/>
      <c r="G320" s="1087">
        <v>42</v>
      </c>
      <c r="H320" s="1630" t="str">
        <f>IF(('Val-Dép'!I42="Matériel roulant"),VLOOKUP('Val-Dép'!I42,'Val-Dép'!I42:Z42,18,FALSE),"")</f>
        <v/>
      </c>
      <c r="I320" s="2746"/>
      <c r="K320" s="1662"/>
      <c r="L320" s="1499"/>
      <c r="M320" s="1499"/>
      <c r="N320" s="1499"/>
      <c r="O320" s="1574"/>
      <c r="P320" s="1535"/>
      <c r="Q320" s="1162"/>
      <c r="R320" s="1162"/>
      <c r="S320" s="1654"/>
      <c r="T320" s="1162"/>
      <c r="U320" s="1081"/>
    </row>
    <row r="321" spans="4:21" ht="15" customHeight="1" x14ac:dyDescent="0.3">
      <c r="D321" s="1081"/>
      <c r="E321" s="1171"/>
      <c r="F321" s="1136"/>
      <c r="G321" s="1087">
        <v>43</v>
      </c>
      <c r="H321" s="1630" t="str">
        <f>IF(('Val-Dép'!I43="Matériel roulant"),VLOOKUP('Val-Dép'!I43,'Val-Dép'!I43:Z43,18,FALSE),"")</f>
        <v/>
      </c>
      <c r="I321" s="2746"/>
      <c r="K321" s="1662"/>
      <c r="L321" s="1499"/>
      <c r="M321" s="1499"/>
      <c r="N321" s="1499"/>
      <c r="O321" s="1574"/>
      <c r="P321" s="1535"/>
      <c r="Q321" s="1162"/>
      <c r="R321" s="1162"/>
      <c r="S321" s="1654"/>
      <c r="T321" s="1162"/>
      <c r="U321" s="1081"/>
    </row>
    <row r="322" spans="4:21" ht="15" customHeight="1" x14ac:dyDescent="0.3">
      <c r="D322" s="1081"/>
      <c r="E322" s="1171"/>
      <c r="F322" s="1136"/>
      <c r="G322" s="1087">
        <v>44</v>
      </c>
      <c r="H322" s="1630" t="str">
        <f>IF(('Val-Dép'!I44="Matériel roulant"),VLOOKUP('Val-Dép'!I44,'Val-Dép'!I44:Z44,18,FALSE),"")</f>
        <v/>
      </c>
      <c r="I322" s="2746"/>
      <c r="K322" s="1662"/>
      <c r="L322" s="1499"/>
      <c r="M322" s="1499"/>
      <c r="N322" s="1499"/>
      <c r="O322" s="1574"/>
      <c r="P322" s="1535"/>
      <c r="Q322" s="1162"/>
      <c r="R322" s="1162"/>
      <c r="S322" s="1654"/>
      <c r="T322" s="1162"/>
      <c r="U322" s="1081"/>
    </row>
    <row r="323" spans="4:21" ht="15" customHeight="1" thickBot="1" x14ac:dyDescent="0.35">
      <c r="D323" s="1081"/>
      <c r="E323" s="1171"/>
      <c r="F323" s="1136"/>
      <c r="G323" s="1087">
        <v>45</v>
      </c>
      <c r="H323" s="1664" t="str">
        <f>IF(('Val-Dép'!I45="Matériel roulant"),VLOOKUP('Val-Dép'!I45,'Val-Dép'!I45:Z45,18,FALSE),"")</f>
        <v/>
      </c>
      <c r="I323" s="2758"/>
      <c r="K323" s="1662"/>
      <c r="L323" s="1499"/>
      <c r="M323" s="1499"/>
      <c r="N323" s="1499"/>
      <c r="O323" s="1574"/>
      <c r="P323" s="1535"/>
      <c r="Q323" s="1162"/>
      <c r="R323" s="1162"/>
      <c r="S323" s="1654"/>
      <c r="T323" s="1162"/>
      <c r="U323" s="1081"/>
    </row>
    <row r="324" spans="4:21" ht="15" customHeight="1" x14ac:dyDescent="0.3">
      <c r="D324" s="1081"/>
      <c r="E324" s="1171"/>
      <c r="F324" s="1136"/>
      <c r="H324" s="1630"/>
      <c r="I324" s="2706"/>
      <c r="K324" s="1662"/>
      <c r="L324" s="1499"/>
      <c r="M324" s="1499"/>
      <c r="N324" s="1499"/>
      <c r="O324" s="1574"/>
      <c r="P324" s="1535"/>
      <c r="Q324" s="1162"/>
      <c r="R324" s="1162"/>
      <c r="S324" s="1654"/>
      <c r="T324" s="1162"/>
      <c r="U324" s="1081"/>
    </row>
    <row r="325" spans="4:21" ht="15" customHeight="1" x14ac:dyDescent="0.3">
      <c r="D325" s="1639"/>
      <c r="E325" s="1171"/>
      <c r="F325" s="1136"/>
      <c r="H325" s="1526"/>
      <c r="I325" s="2706"/>
      <c r="K325" s="1662"/>
      <c r="L325" s="1499"/>
      <c r="M325" s="1499"/>
      <c r="N325" s="1499"/>
      <c r="O325" s="1574"/>
      <c r="P325" s="1535"/>
      <c r="Q325" s="1162"/>
      <c r="R325" s="1162"/>
      <c r="S325" s="1654"/>
      <c r="T325" s="1162"/>
      <c r="U325" s="1081"/>
    </row>
    <row r="326" spans="4:21" ht="15" customHeight="1" thickBot="1" x14ac:dyDescent="0.35">
      <c r="D326" s="1671"/>
      <c r="E326" s="1171"/>
      <c r="F326" s="1136"/>
      <c r="G326" s="1136"/>
      <c r="H326" s="1136"/>
      <c r="J326" s="1665"/>
      <c r="K326" s="1662"/>
      <c r="L326" s="1499"/>
      <c r="M326" s="1499"/>
      <c r="N326" s="1499"/>
      <c r="O326" s="1574"/>
      <c r="P326" s="1535"/>
      <c r="Q326" s="1162"/>
      <c r="R326" s="1162"/>
      <c r="S326" s="1654"/>
      <c r="T326" s="1162"/>
      <c r="U326" s="1081"/>
    </row>
    <row r="327" spans="4:21" ht="15" customHeight="1" thickBot="1" x14ac:dyDescent="0.35">
      <c r="D327" s="1671"/>
      <c r="E327" s="1171"/>
      <c r="F327" s="1136"/>
      <c r="G327" s="1180" t="s">
        <v>186</v>
      </c>
      <c r="H327" s="1498">
        <v>4514</v>
      </c>
      <c r="I327" s="2759" t="s">
        <v>2006</v>
      </c>
      <c r="J327" s="1183" t="s">
        <v>185</v>
      </c>
      <c r="K327" s="1662"/>
      <c r="L327" s="1499"/>
      <c r="M327" s="1499"/>
      <c r="N327" s="1499"/>
      <c r="O327" s="1574"/>
      <c r="P327" s="1535"/>
      <c r="Q327" s="1162"/>
      <c r="R327" s="1162"/>
      <c r="S327" s="1654"/>
      <c r="T327" s="1162"/>
      <c r="U327" s="1081"/>
    </row>
    <row r="328" spans="4:21" ht="15" customHeight="1" thickBot="1" x14ac:dyDescent="0.35">
      <c r="D328" s="1671"/>
      <c r="E328" s="1171"/>
      <c r="F328" s="1136"/>
      <c r="G328" s="1180"/>
      <c r="H328" s="1593" t="s">
        <v>2057</v>
      </c>
      <c r="I328" s="2760" t="s">
        <v>2058</v>
      </c>
      <c r="J328" s="1183"/>
      <c r="K328" s="1662"/>
      <c r="L328" s="1499"/>
      <c r="M328" s="1499"/>
      <c r="N328" s="1499"/>
      <c r="O328" s="1574"/>
      <c r="P328" s="1535"/>
      <c r="Q328" s="1162"/>
      <c r="R328" s="1162"/>
      <c r="S328" s="1654"/>
      <c r="T328" s="1162"/>
      <c r="U328" s="1081"/>
    </row>
    <row r="329" spans="4:21" ht="15" customHeight="1" x14ac:dyDescent="0.3">
      <c r="D329" s="1671"/>
      <c r="E329" s="1171"/>
      <c r="F329" s="1136"/>
      <c r="G329" s="1087">
        <v>35</v>
      </c>
      <c r="H329" s="1667" t="str">
        <f>IF(('Val-Dép'!I35="note de crédit"),VLOOKUP('Val-Dép'!I35,'Val-Dép'!I35:AC35,19,FALSE ),"")</f>
        <v/>
      </c>
      <c r="I329" s="2761" t="str">
        <f>IF(('Val-Dép'!I35="note de crédit"),VLOOKUP('Val-Dép'!I35,'Val-Dép'!I35:AC35,19,FALSE ),"")</f>
        <v/>
      </c>
      <c r="J329" s="1171"/>
      <c r="K329" s="1662"/>
      <c r="L329" s="1499"/>
      <c r="M329" s="1499"/>
      <c r="N329" s="1499"/>
      <c r="O329" s="1574"/>
      <c r="P329" s="1535"/>
      <c r="Q329" s="1162"/>
      <c r="R329" s="1162"/>
      <c r="S329" s="1654"/>
      <c r="T329" s="1162"/>
      <c r="U329" s="1081"/>
    </row>
    <row r="330" spans="4:21" ht="14.1" customHeight="1" x14ac:dyDescent="0.3">
      <c r="D330" s="1671"/>
      <c r="E330" s="1639"/>
      <c r="F330" s="1136"/>
      <c r="G330" s="1087">
        <v>36</v>
      </c>
      <c r="H330" s="1669" t="str">
        <f>IF(('Val-Dép'!I36="note de crédit"),VLOOKUP('Val-Dép'!I36,'Val-Dép'!I36:AC36,19,FALSE ),"")</f>
        <v/>
      </c>
      <c r="I330" s="2762" t="str">
        <f>IF(('Val-Dép'!I36="note de crédit"),VLOOKUP('Val-Dép'!I36,'Val-Dép'!I36:AC36,19,FALSE ),"")</f>
        <v/>
      </c>
      <c r="J330" s="1171"/>
      <c r="K330" s="1662"/>
      <c r="L330" s="1499"/>
      <c r="M330" s="1499"/>
      <c r="N330" s="1499"/>
      <c r="O330" s="1574"/>
      <c r="P330" s="1535"/>
      <c r="Q330" s="1162"/>
      <c r="R330" s="1162"/>
      <c r="S330" s="1654"/>
      <c r="T330" s="1162"/>
      <c r="U330" s="1081"/>
    </row>
    <row r="331" spans="4:21" ht="14.1" customHeight="1" x14ac:dyDescent="0.3">
      <c r="D331" s="1671"/>
      <c r="E331" s="1614"/>
      <c r="F331" s="1136"/>
      <c r="G331" s="1087">
        <v>37</v>
      </c>
      <c r="H331" s="1669" t="str">
        <f>IF(('Val-Dép'!I37="note de crédit"),VLOOKUP('Val-Dép'!I37,'Val-Dép'!I37:AC37,19,FALSE ),"")</f>
        <v/>
      </c>
      <c r="I331" s="2762" t="str">
        <f>IF(('Val-Dép'!I37="note de crédit"),VLOOKUP('Val-Dép'!I37,'Val-Dép'!I37:AC37,19,FALSE ),"")</f>
        <v/>
      </c>
      <c r="K331" s="1393"/>
      <c r="L331" s="1499"/>
      <c r="M331" s="1499"/>
      <c r="N331" s="1499"/>
      <c r="O331" s="1574"/>
      <c r="P331" s="1535"/>
      <c r="Q331" s="1162"/>
      <c r="R331" s="1162"/>
      <c r="S331" s="1654"/>
      <c r="T331" s="1162"/>
      <c r="U331" s="1081"/>
    </row>
    <row r="332" spans="4:21" ht="14.1" customHeight="1" x14ac:dyDescent="0.3">
      <c r="D332" s="1671"/>
      <c r="E332" s="1614"/>
      <c r="F332" s="1136"/>
      <c r="G332" s="1087">
        <v>38</v>
      </c>
      <c r="H332" s="1669" t="str">
        <f>IF(('Val-Dép'!I38="note de crédit"),VLOOKUP('Val-Dép'!I38,'Val-Dép'!I38:AC38,19,FALSE ),"")</f>
        <v/>
      </c>
      <c r="I332" s="2762" t="str">
        <f>IF(('Val-Dép'!I38="note de crédit"),VLOOKUP('Val-Dép'!I38,'Val-Dép'!I38:AC38,19,FALSE ),"")</f>
        <v/>
      </c>
      <c r="K332" s="1393"/>
      <c r="L332" s="1499"/>
      <c r="M332" s="1499"/>
      <c r="N332" s="1499"/>
      <c r="O332" s="1574"/>
      <c r="P332" s="1535"/>
    </row>
    <row r="333" spans="4:21" ht="14.1" customHeight="1" x14ac:dyDescent="0.3">
      <c r="D333" s="1671"/>
      <c r="E333" s="1614"/>
      <c r="F333" s="1136"/>
      <c r="G333" s="1087">
        <v>39</v>
      </c>
      <c r="H333" s="1669" t="str">
        <f>IF(('Val-Dép'!I39="note de crédit"),VLOOKUP('Val-Dép'!I39,'Val-Dép'!I39:AC39,19,FALSE ),"")</f>
        <v/>
      </c>
      <c r="I333" s="2762" t="str">
        <f>IF(('Val-Dép'!I39="note de crédit"),VLOOKUP('Val-Dép'!I39,'Val-Dép'!I39:AC39,19,FALSE ),"")</f>
        <v/>
      </c>
      <c r="K333" s="1393"/>
      <c r="L333" s="1499"/>
      <c r="M333" s="1499"/>
      <c r="N333" s="1499"/>
      <c r="O333" s="1574"/>
      <c r="P333" s="1535"/>
    </row>
    <row r="334" spans="4:21" ht="14.1" customHeight="1" x14ac:dyDescent="0.3">
      <c r="D334" s="1671"/>
      <c r="E334" s="1614"/>
      <c r="F334" s="1136"/>
      <c r="G334" s="1087">
        <v>40</v>
      </c>
      <c r="H334" s="1611"/>
      <c r="I334" s="2762" t="str">
        <f>IF(('Val-Dép'!I40="note de crédit"),VLOOKUP('Val-Dép'!I40,'Val-Dép'!I40:AC40,19,FALSE ),"")</f>
        <v/>
      </c>
      <c r="J334" s="1270" t="s">
        <v>249</v>
      </c>
      <c r="K334" s="1393"/>
      <c r="L334" s="1499"/>
      <c r="M334" s="1499"/>
      <c r="N334" s="1499"/>
      <c r="O334" s="1574"/>
      <c r="P334" s="1535"/>
    </row>
    <row r="335" spans="4:21" ht="14.1" customHeight="1" x14ac:dyDescent="0.3">
      <c r="D335" s="1671"/>
      <c r="E335" s="1614"/>
      <c r="F335" s="1136"/>
      <c r="G335" s="1087">
        <v>41</v>
      </c>
      <c r="H335" s="1669" t="str">
        <f>IF(('Val-Dép'!I41="note de crédit"),VLOOKUP('Val-Dép'!I41,'Val-Dép'!I41:AC41,19,FALSE ),"")</f>
        <v/>
      </c>
      <c r="I335" s="2762" t="str">
        <f>IF(('Val-Dép'!I41="note de crédit"),VLOOKUP('Val-Dép'!I41,'Val-Dép'!I41:AC41,19,FALSE ),"")</f>
        <v/>
      </c>
      <c r="K335" s="1393"/>
      <c r="L335" s="1499"/>
      <c r="M335" s="1499"/>
      <c r="N335" s="1499"/>
      <c r="O335" s="1574"/>
      <c r="P335" s="1535"/>
    </row>
    <row r="336" spans="4:21" ht="14.1" customHeight="1" x14ac:dyDescent="0.3">
      <c r="E336" s="1614"/>
      <c r="F336" s="1136"/>
      <c r="G336" s="1087">
        <v>42</v>
      </c>
      <c r="H336" s="1669" t="str">
        <f>IF(('Val-Dép'!I42="note de crédit"),VLOOKUP('Val-Dép'!I42,'Val-Dép'!I42:AC42,19,FALSE ),"")</f>
        <v/>
      </c>
      <c r="I336" s="2762" t="str">
        <f>IF(('Val-Dép'!I42="note de crédit"),VLOOKUP('Val-Dép'!I42,'Val-Dép'!I42:AC42,19,FALSE ),"")</f>
        <v/>
      </c>
      <c r="K336" s="1393"/>
      <c r="L336" s="1499"/>
      <c r="M336" s="1499"/>
      <c r="N336" s="1499"/>
      <c r="O336" s="1574"/>
      <c r="P336" s="1535"/>
    </row>
    <row r="337" spans="5:16" ht="14.1" customHeight="1" x14ac:dyDescent="0.3">
      <c r="E337" s="1614"/>
      <c r="F337" s="1136"/>
      <c r="G337" s="1087">
        <v>43</v>
      </c>
      <c r="H337" s="1669" t="str">
        <f>IF(('Val-Dép'!I43="note de crédit"),VLOOKUP('Val-Dép'!I43,'Val-Dép'!I43:AC43,19,FALSE ),"")</f>
        <v/>
      </c>
      <c r="I337" s="2762" t="str">
        <f>IF(('Val-Dép'!I43="note de crédit"),VLOOKUP('Val-Dép'!I43,'Val-Dép'!I43:AC43,19,FALSE ),"")</f>
        <v/>
      </c>
      <c r="K337" s="1393"/>
      <c r="L337" s="1499"/>
      <c r="M337" s="1499"/>
      <c r="N337" s="1499"/>
      <c r="O337" s="1574"/>
      <c r="P337" s="1535"/>
    </row>
    <row r="338" spans="5:16" ht="14.1" customHeight="1" x14ac:dyDescent="0.3">
      <c r="E338" s="1614"/>
      <c r="F338" s="1136"/>
      <c r="G338" s="1087">
        <v>44</v>
      </c>
      <c r="H338" s="1669" t="str">
        <f>IF(('Val-Dép'!I44="note de crédit"),VLOOKUP('Val-Dép'!I44,'Val-Dép'!I44:AC44,19,FALSE ),"")</f>
        <v/>
      </c>
      <c r="I338" s="2762" t="str">
        <f>IF(('Val-Dép'!I44="note de crédit"),VLOOKUP('Val-Dép'!I44,'Val-Dép'!I44:AC44,19,FALSE ),"")</f>
        <v/>
      </c>
      <c r="K338" s="1393"/>
      <c r="L338" s="1499"/>
      <c r="M338" s="1499"/>
      <c r="N338" s="1499"/>
      <c r="O338" s="1574"/>
      <c r="P338" s="1535"/>
    </row>
    <row r="339" spans="5:16" ht="14.1" customHeight="1" thickBot="1" x14ac:dyDescent="0.35">
      <c r="E339" s="1614"/>
      <c r="F339" s="1136"/>
      <c r="G339" s="1087">
        <v>45</v>
      </c>
      <c r="H339" s="1672">
        <f>SUM(H329:H338)</f>
        <v>0</v>
      </c>
      <c r="I339" s="2763"/>
      <c r="K339" s="1393"/>
      <c r="L339" s="1499"/>
      <c r="M339" s="1499"/>
      <c r="N339" s="1499"/>
    </row>
    <row r="340" spans="5:16" ht="14.1" customHeight="1" x14ac:dyDescent="0.3">
      <c r="E340" s="1614"/>
      <c r="F340" s="1136"/>
      <c r="H340" s="1673"/>
      <c r="I340" s="2764"/>
      <c r="K340" s="1393"/>
    </row>
    <row r="341" spans="5:16" ht="14.1" customHeight="1" x14ac:dyDescent="0.25">
      <c r="H341" s="1673"/>
      <c r="I341" s="2764"/>
      <c r="K341" s="1393"/>
    </row>
    <row r="342" spans="5:16" ht="14.1" customHeight="1" thickBot="1" x14ac:dyDescent="0.3">
      <c r="K342" s="1393"/>
    </row>
    <row r="343" spans="5:16" ht="14.1" customHeight="1" thickTop="1" thickBot="1" x14ac:dyDescent="0.35">
      <c r="G343" s="1675" t="s">
        <v>186</v>
      </c>
      <c r="H343" s="1676" t="s">
        <v>263</v>
      </c>
      <c r="I343" s="2765" t="s">
        <v>2016</v>
      </c>
      <c r="J343" s="1678" t="s">
        <v>185</v>
      </c>
      <c r="K343" s="1393"/>
    </row>
    <row r="344" spans="5:16" ht="14.1" customHeight="1" thickBot="1" x14ac:dyDescent="0.35">
      <c r="G344" s="1592"/>
      <c r="H344" s="1690" t="s">
        <v>2014</v>
      </c>
      <c r="I344" s="2766"/>
      <c r="J344" s="1595"/>
      <c r="K344" s="1393"/>
    </row>
    <row r="345" spans="5:16" ht="14.1" customHeight="1" x14ac:dyDescent="0.25">
      <c r="G345" s="1087">
        <v>35</v>
      </c>
      <c r="H345" s="1679">
        <f>IF(ISNA(VLOOKUP($I$343,'Val-Dép'!I35:AE35,23,FALSE)),,VLOOKUP($I$343,'Val-Dép'!I35:AE35,23,FALSE))</f>
        <v>0</v>
      </c>
      <c r="I345" s="2767"/>
      <c r="J345" s="1171"/>
      <c r="K345" s="1393"/>
    </row>
    <row r="346" spans="5:16" ht="14.1" customHeight="1" x14ac:dyDescent="0.25">
      <c r="G346" s="1087">
        <v>36</v>
      </c>
      <c r="H346" s="1680">
        <f>IF(ISNA(VLOOKUP($I$343,'Val-Dép'!I36:AE36,23,FALSE)),,VLOOKUP($I$343,'Val-Dép'!I36:AE36,23,FALSE))</f>
        <v>0</v>
      </c>
      <c r="I346" s="2768"/>
      <c r="J346" s="1171"/>
      <c r="K346" s="1393"/>
    </row>
    <row r="347" spans="5:16" ht="17.399999999999999" x14ac:dyDescent="0.25">
      <c r="G347" s="1087">
        <v>37</v>
      </c>
      <c r="H347" s="1680">
        <f>IF(ISNA(VLOOKUP($I$343,'Val-Dép'!I37:AE37,23,FALSE)),,VLOOKUP($I$343,'Val-Dép'!I37:AE37,23,FALSE))</f>
        <v>0</v>
      </c>
      <c r="I347" s="2768"/>
      <c r="J347" s="1171"/>
      <c r="K347" s="1393"/>
    </row>
    <row r="348" spans="5:16" ht="15" customHeight="1" x14ac:dyDescent="0.25">
      <c r="G348" s="1087">
        <v>38</v>
      </c>
      <c r="H348" s="1680">
        <f>IF(ISNA(VLOOKUP($I$343,'Val-Dép'!I38:AE38,23,FALSE)),,VLOOKUP($I$343,'Val-Dép'!I38:AE38,23,FALSE))</f>
        <v>0</v>
      </c>
      <c r="I348" s="2768"/>
      <c r="J348" s="1171"/>
      <c r="K348" s="1393"/>
    </row>
    <row r="349" spans="5:16" ht="17.399999999999999" x14ac:dyDescent="0.25">
      <c r="G349" s="1087">
        <v>39</v>
      </c>
      <c r="H349" s="1680">
        <f>IF(ISNA(VLOOKUP($I$343,'Val-Dép'!I39:AE39,23,FALSE)),,VLOOKUP($I$343,'Val-Dép'!I39:AE39,23,FALSE))</f>
        <v>0</v>
      </c>
      <c r="I349" s="2768"/>
      <c r="J349" s="1171"/>
      <c r="K349" s="1393"/>
    </row>
    <row r="350" spans="5:16" ht="18" thickBot="1" x14ac:dyDescent="0.3">
      <c r="G350" s="1087">
        <v>45</v>
      </c>
      <c r="H350" s="1681">
        <f>IF(ISNA(VLOOKUP($I$343,'Val-Dép'!I45:AE45,23,FALSE)),,VLOOKUP($I$343,'Val-Dép'!I45:AE45,23,FALSE))</f>
        <v>0</v>
      </c>
      <c r="I350" s="2757"/>
      <c r="J350" s="1171"/>
      <c r="K350" s="1393"/>
    </row>
    <row r="351" spans="5:16" ht="14.1" customHeight="1" x14ac:dyDescent="0.3">
      <c r="G351" s="1499"/>
      <c r="H351" s="1499"/>
      <c r="I351" s="2769"/>
      <c r="J351" s="1171"/>
      <c r="K351" s="1393"/>
    </row>
    <row r="352" spans="5:16" ht="14.1" customHeight="1" x14ac:dyDescent="0.3">
      <c r="G352" s="1499"/>
      <c r="H352" s="1514"/>
      <c r="I352" s="2770"/>
      <c r="J352" s="1171"/>
      <c r="K352" s="1393"/>
    </row>
    <row r="353" spans="7:11" ht="14.1" customHeight="1" x14ac:dyDescent="0.3">
      <c r="G353" s="1499"/>
      <c r="H353" s="1682"/>
      <c r="I353" s="2770"/>
      <c r="J353" s="1171"/>
      <c r="K353" s="1393"/>
    </row>
    <row r="354" spans="7:11" ht="14.1" customHeight="1" x14ac:dyDescent="0.3">
      <c r="G354" s="1081"/>
      <c r="H354" s="1683"/>
      <c r="I354" s="2769"/>
      <c r="J354" s="1171"/>
      <c r="K354" s="1393"/>
    </row>
    <row r="355" spans="7:11" ht="14.1" customHeight="1" x14ac:dyDescent="0.25">
      <c r="G355" s="1081"/>
      <c r="H355" s="1683"/>
      <c r="I355" s="2706"/>
      <c r="K355" s="1393"/>
    </row>
    <row r="356" spans="7:11" ht="14.1" customHeight="1" x14ac:dyDescent="0.3">
      <c r="G356" s="1081"/>
      <c r="H356" s="1683"/>
      <c r="I356" s="2706"/>
      <c r="J356" s="1499"/>
      <c r="K356" s="1393"/>
    </row>
    <row r="357" spans="7:11" ht="14.1" customHeight="1" x14ac:dyDescent="0.25">
      <c r="G357" s="1081"/>
      <c r="H357" s="1683"/>
      <c r="I357" s="2706"/>
      <c r="J357" s="1682"/>
      <c r="K357" s="1393"/>
    </row>
    <row r="358" spans="7:11" ht="14.1" customHeight="1" x14ac:dyDescent="0.3">
      <c r="G358" s="1639"/>
      <c r="H358" s="1683"/>
      <c r="I358" s="2771"/>
      <c r="J358" s="1516"/>
      <c r="K358" s="1393"/>
    </row>
    <row r="359" spans="7:11" ht="14.1" customHeight="1" x14ac:dyDescent="0.3">
      <c r="G359" s="1499"/>
      <c r="H359" s="1683"/>
      <c r="I359" s="2772"/>
      <c r="J359" s="1171"/>
      <c r="K359" s="1393"/>
    </row>
    <row r="360" spans="7:11" ht="14.1" customHeight="1" x14ac:dyDescent="0.3">
      <c r="G360" s="1499"/>
      <c r="H360" s="1683"/>
      <c r="I360" s="2772"/>
      <c r="J360" s="1171"/>
      <c r="K360" s="1393"/>
    </row>
    <row r="361" spans="7:11" ht="14.1" customHeight="1" x14ac:dyDescent="0.3">
      <c r="G361" s="1499"/>
      <c r="H361" s="1683"/>
      <c r="I361" s="2772"/>
      <c r="J361" s="1171"/>
      <c r="K361" s="1393"/>
    </row>
    <row r="362" spans="7:11" ht="14.1" customHeight="1" x14ac:dyDescent="0.3">
      <c r="G362" s="1499"/>
      <c r="H362" s="1683"/>
      <c r="I362" s="2772"/>
      <c r="J362" s="1171"/>
      <c r="K362" s="1393"/>
    </row>
    <row r="363" spans="7:11" ht="14.1" customHeight="1" x14ac:dyDescent="0.3">
      <c r="G363" s="1499"/>
      <c r="H363" s="1683"/>
      <c r="I363" s="2772"/>
      <c r="J363" s="1639"/>
      <c r="K363" s="1393"/>
    </row>
    <row r="364" spans="7:11" ht="14.1" customHeight="1" x14ac:dyDescent="0.3">
      <c r="G364" s="1499"/>
      <c r="H364" s="1683"/>
      <c r="I364" s="2773"/>
      <c r="J364" s="1614"/>
      <c r="K364" s="1393"/>
    </row>
    <row r="365" spans="7:11" ht="14.1" customHeight="1" x14ac:dyDescent="0.3">
      <c r="G365" s="1499"/>
      <c r="H365" s="1684"/>
      <c r="I365" s="2773"/>
      <c r="J365" s="1614"/>
      <c r="K365" s="1393"/>
    </row>
    <row r="366" spans="7:11" ht="14.1" customHeight="1" x14ac:dyDescent="0.3">
      <c r="J366" s="1614"/>
      <c r="K366" s="1393"/>
    </row>
    <row r="367" spans="7:11" ht="14.1" customHeight="1" x14ac:dyDescent="0.3">
      <c r="J367" s="1614"/>
      <c r="K367" s="1393"/>
    </row>
    <row r="368" spans="7:11" ht="14.1" customHeight="1" x14ac:dyDescent="0.3">
      <c r="J368" s="1614"/>
      <c r="K368" s="1393"/>
    </row>
    <row r="369" spans="10:11" ht="14.1" customHeight="1" x14ac:dyDescent="0.3">
      <c r="J369" s="1614"/>
      <c r="K369" s="1081"/>
    </row>
    <row r="370" spans="10:11" ht="14.1" customHeight="1" x14ac:dyDescent="0.3">
      <c r="J370" s="1614"/>
      <c r="K370" s="1081"/>
    </row>
    <row r="371" spans="10:11" ht="14.1" customHeight="1" x14ac:dyDescent="0.25">
      <c r="K371" s="1081"/>
    </row>
    <row r="372" spans="10:11" ht="14.1" customHeight="1" x14ac:dyDescent="0.25">
      <c r="K372" s="1081"/>
    </row>
    <row r="373" spans="10:11" ht="14.1" customHeight="1" x14ac:dyDescent="0.25">
      <c r="K373" s="1081"/>
    </row>
    <row r="374" spans="10:11" ht="14.1" customHeight="1" x14ac:dyDescent="0.25">
      <c r="K374" s="1081"/>
    </row>
    <row r="375" spans="10:11" ht="14.1" customHeight="1" x14ac:dyDescent="0.25">
      <c r="K375" s="1081"/>
    </row>
    <row r="376" spans="10:11" ht="14.1" customHeight="1" x14ac:dyDescent="0.25">
      <c r="K376" s="1081"/>
    </row>
    <row r="377" spans="10:11" ht="14.1" customHeight="1" x14ac:dyDescent="0.25">
      <c r="K377" s="1081"/>
    </row>
    <row r="378" spans="10:11" ht="14.1" customHeight="1" x14ac:dyDescent="0.25"/>
    <row r="379" spans="10:11" ht="14.1" customHeight="1" x14ac:dyDescent="0.25"/>
    <row r="380" spans="10:11" ht="14.1" customHeight="1" x14ac:dyDescent="0.25"/>
    <row r="394" spans="11:11" x14ac:dyDescent="0.25">
      <c r="K394" s="1081"/>
    </row>
    <row r="395" spans="11:11" x14ac:dyDescent="0.25">
      <c r="K395" s="1081"/>
    </row>
    <row r="396" spans="11:11" x14ac:dyDescent="0.25">
      <c r="K396" s="1081"/>
    </row>
    <row r="397" spans="11:11" x14ac:dyDescent="0.25">
      <c r="K397" s="1081"/>
    </row>
    <row r="398" spans="11:11" x14ac:dyDescent="0.25">
      <c r="K398" s="1081"/>
    </row>
    <row r="399" spans="11:11" x14ac:dyDescent="0.25">
      <c r="K399" s="1081"/>
    </row>
    <row r="400" spans="11:11" x14ac:dyDescent="0.25">
      <c r="K400" s="1081"/>
    </row>
    <row r="401" spans="11:11" x14ac:dyDescent="0.25">
      <c r="K401" s="1081"/>
    </row>
    <row r="402" spans="11:11" x14ac:dyDescent="0.25">
      <c r="K402" s="1081"/>
    </row>
    <row r="403" spans="11:11" x14ac:dyDescent="0.25">
      <c r="K403" s="1081"/>
    </row>
    <row r="404" spans="11:11" x14ac:dyDescent="0.25">
      <c r="K404" s="1081"/>
    </row>
    <row r="405" spans="11:11" x14ac:dyDescent="0.25">
      <c r="K405" s="1081"/>
    </row>
    <row r="406" spans="11:11" x14ac:dyDescent="0.25">
      <c r="K406" s="1081"/>
    </row>
    <row r="407" spans="11:11" x14ac:dyDescent="0.25">
      <c r="K407" s="1081"/>
    </row>
    <row r="408" spans="11:11" x14ac:dyDescent="0.25">
      <c r="K408" s="1081"/>
    </row>
  </sheetData>
  <mergeCells count="56">
    <mergeCell ref="I215:J215"/>
    <mergeCell ref="I210:J210"/>
    <mergeCell ref="I97:J97"/>
    <mergeCell ref="H122:I122"/>
    <mergeCell ref="D118:I118"/>
    <mergeCell ref="E211:F211"/>
    <mergeCell ref="E212:F212"/>
    <mergeCell ref="D117:I117"/>
    <mergeCell ref="C130:D130"/>
    <mergeCell ref="H130:I130"/>
    <mergeCell ref="B183:C183"/>
    <mergeCell ref="D134:E134"/>
    <mergeCell ref="G134:H134"/>
    <mergeCell ref="G132:J132"/>
    <mergeCell ref="L134:M134"/>
    <mergeCell ref="B2:G2"/>
    <mergeCell ref="I78:J78"/>
    <mergeCell ref="C132:D132"/>
    <mergeCell ref="I134:J134"/>
    <mergeCell ref="C122:D122"/>
    <mergeCell ref="I34:J34"/>
    <mergeCell ref="I23:J23"/>
    <mergeCell ref="I13:J13"/>
    <mergeCell ref="I68:J68"/>
    <mergeCell ref="I44:J44"/>
    <mergeCell ref="B97:C97"/>
    <mergeCell ref="D97:E97"/>
    <mergeCell ref="D133:E133"/>
    <mergeCell ref="B133:C133"/>
    <mergeCell ref="B134:C134"/>
    <mergeCell ref="X169:Y169"/>
    <mergeCell ref="AC169:AD169"/>
    <mergeCell ref="O157:P157"/>
    <mergeCell ref="O158:P158"/>
    <mergeCell ref="P2:S2"/>
    <mergeCell ref="V86:AG86"/>
    <mergeCell ref="O156:P156"/>
    <mergeCell ref="T129:X129"/>
    <mergeCell ref="O155:P155"/>
    <mergeCell ref="W130:AE130"/>
    <mergeCell ref="S151:AA151"/>
    <mergeCell ref="AE252:AH252"/>
    <mergeCell ref="AE253:AH253"/>
    <mergeCell ref="AE240:AH240"/>
    <mergeCell ref="AE235:AH235"/>
    <mergeCell ref="AE237:AH237"/>
    <mergeCell ref="AE238:AH238"/>
    <mergeCell ref="AE236:AH236"/>
    <mergeCell ref="AE250:AH250"/>
    <mergeCell ref="AE251:AH251"/>
    <mergeCell ref="AE247:AH247"/>
    <mergeCell ref="AE248:AH248"/>
    <mergeCell ref="AE244:AH244"/>
    <mergeCell ref="AE245:AH245"/>
    <mergeCell ref="AE246:AH246"/>
    <mergeCell ref="AE249:AH249"/>
  </mergeCells>
  <conditionalFormatting sqref="C37">
    <cfRule type="cellIs" dxfId="5" priority="14" operator="greaterThan">
      <formula>0</formula>
    </cfRule>
    <cfRule type="colorScale" priority="15">
      <colorScale>
        <cfvo type="num" val="&quot;&gt;0&quot;"/>
        <cfvo type="max"/>
        <color rgb="FFFF7128"/>
        <color rgb="FFFFEF9C"/>
      </colorScale>
    </cfRule>
  </conditionalFormatting>
  <conditionalFormatting sqref="R41:R47">
    <cfRule type="colorScale" priority="10">
      <colorScale>
        <cfvo type="num" val="0"/>
        <cfvo type="num" val="&quot;&gt;0&quot;"/>
        <color theme="0"/>
        <color rgb="FFFFC000"/>
      </colorScale>
    </cfRule>
    <cfRule type="cellIs" dxfId="4" priority="11" operator="greaterThan">
      <formula>0</formula>
    </cfRule>
    <cfRule type="cellIs" dxfId="3" priority="12" operator="greaterThan">
      <formula>"&gt;0"</formula>
    </cfRule>
    <cfRule type="colorScale" priority="13">
      <colorScale>
        <cfvo type="num" val="&quot;&gt;0&quot;"/>
        <cfvo type="max"/>
        <color rgb="FFFF7128"/>
        <color rgb="FFFFEF9C"/>
      </colorScale>
    </cfRule>
  </conditionalFormatting>
  <conditionalFormatting sqref="R137:R147 X137:X147 AC137:AC147">
    <cfRule type="cellIs" dxfId="2" priority="8" operator="greaterThan">
      <formula>0</formula>
    </cfRule>
    <cfRule type="cellIs" dxfId="1" priority="9" operator="greaterThan">
      <formula>0</formula>
    </cfRule>
  </conditionalFormatting>
  <conditionalFormatting sqref="R139:R147">
    <cfRule type="cellIs" dxfId="0" priority="7" operator="greaterThan">
      <formula>0</formula>
    </cfRule>
  </conditionalFormatting>
  <dataValidations disablePrompts="1" count="1">
    <dataValidation type="list" allowBlank="1" showInputMessage="1" showErrorMessage="1" sqref="D252 I257">
      <formula1>appelation</formula1>
    </dataValidation>
  </dataValidations>
  <pageMargins left="0.25" right="0.25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B2:J38"/>
  <sheetViews>
    <sheetView workbookViewId="0">
      <selection activeCell="E5" sqref="E5"/>
    </sheetView>
  </sheetViews>
  <sheetFormatPr baseColWidth="10" defaultRowHeight="13.8" x14ac:dyDescent="0.25"/>
  <cols>
    <col min="1" max="1" width="2.77734375" customWidth="1"/>
    <col min="2" max="2" width="10.21875" customWidth="1"/>
    <col min="3" max="3" width="28.77734375" customWidth="1"/>
    <col min="4" max="4" width="7.88671875" customWidth="1"/>
    <col min="5" max="5" width="6" customWidth="1"/>
    <col min="6" max="6" width="28.44140625" customWidth="1"/>
    <col min="8" max="8" width="6.88671875" customWidth="1"/>
    <col min="9" max="9" width="27.77734375" customWidth="1"/>
  </cols>
  <sheetData>
    <row r="2" spans="2:10" ht="14.4" thickBot="1" x14ac:dyDescent="0.3"/>
    <row r="3" spans="2:10" ht="14.4" thickTop="1" x14ac:dyDescent="0.25">
      <c r="B3" s="4246" t="s">
        <v>21</v>
      </c>
      <c r="C3" s="4248" t="s">
        <v>2399</v>
      </c>
      <c r="D3" s="4248" t="s">
        <v>2400</v>
      </c>
      <c r="E3" s="4241" t="s">
        <v>2401</v>
      </c>
      <c r="F3" s="4241"/>
      <c r="G3" s="4242" t="s">
        <v>2404</v>
      </c>
      <c r="H3" s="4241" t="s">
        <v>2403</v>
      </c>
      <c r="I3" s="4241"/>
      <c r="J3" s="4244" t="s">
        <v>2405</v>
      </c>
    </row>
    <row r="4" spans="2:10" s="3230" customFormat="1" x14ac:dyDescent="0.25">
      <c r="B4" s="4247"/>
      <c r="C4" s="4249"/>
      <c r="D4" s="4249"/>
      <c r="E4" s="313" t="s">
        <v>20</v>
      </c>
      <c r="F4" s="313" t="s">
        <v>2402</v>
      </c>
      <c r="G4" s="4243"/>
      <c r="H4" s="313" t="s">
        <v>20</v>
      </c>
      <c r="I4" s="313" t="s">
        <v>2402</v>
      </c>
      <c r="J4" s="4245"/>
    </row>
    <row r="5" spans="2:10" x14ac:dyDescent="0.25">
      <c r="B5" s="3443"/>
      <c r="C5" s="168"/>
      <c r="D5" s="168"/>
      <c r="E5" s="168"/>
      <c r="F5" s="168"/>
      <c r="G5" s="168"/>
      <c r="H5" s="168"/>
      <c r="I5" s="168"/>
      <c r="J5" s="3444"/>
    </row>
    <row r="6" spans="2:10" x14ac:dyDescent="0.25">
      <c r="B6" s="3445"/>
      <c r="C6" s="159"/>
      <c r="D6" s="159"/>
      <c r="E6" s="159"/>
      <c r="F6" s="159"/>
      <c r="G6" s="159"/>
      <c r="H6" s="159"/>
      <c r="I6" s="159"/>
      <c r="J6" s="3446"/>
    </row>
    <row r="7" spans="2:10" x14ac:dyDescent="0.25">
      <c r="B7" s="3445"/>
      <c r="C7" s="159"/>
      <c r="D7" s="159"/>
      <c r="E7" s="159"/>
      <c r="F7" s="159"/>
      <c r="G7" s="159"/>
      <c r="H7" s="159"/>
      <c r="I7" s="159"/>
      <c r="J7" s="3446"/>
    </row>
    <row r="8" spans="2:10" x14ac:dyDescent="0.25">
      <c r="B8" s="3445"/>
      <c r="C8" s="159"/>
      <c r="D8" s="159"/>
      <c r="E8" s="159"/>
      <c r="F8" s="159"/>
      <c r="G8" s="159"/>
      <c r="H8" s="159"/>
      <c r="I8" s="159"/>
      <c r="J8" s="3446"/>
    </row>
    <row r="9" spans="2:10" x14ac:dyDescent="0.25">
      <c r="B9" s="3445"/>
      <c r="C9" s="159"/>
      <c r="D9" s="159"/>
      <c r="E9" s="159"/>
      <c r="F9" s="159"/>
      <c r="G9" s="159"/>
      <c r="H9" s="159"/>
      <c r="I9" s="159"/>
      <c r="J9" s="3446"/>
    </row>
    <row r="10" spans="2:10" x14ac:dyDescent="0.25">
      <c r="B10" s="3445"/>
      <c r="C10" s="159"/>
      <c r="D10" s="159"/>
      <c r="E10" s="159"/>
      <c r="F10" s="159"/>
      <c r="G10" s="159"/>
      <c r="H10" s="159"/>
      <c r="I10" s="159"/>
      <c r="J10" s="3446"/>
    </row>
    <row r="11" spans="2:10" x14ac:dyDescent="0.25">
      <c r="B11" s="3445"/>
      <c r="C11" s="159"/>
      <c r="D11" s="159"/>
      <c r="E11" s="159"/>
      <c r="F11" s="159"/>
      <c r="G11" s="159"/>
      <c r="H11" s="159"/>
      <c r="I11" s="159"/>
      <c r="J11" s="3446"/>
    </row>
    <row r="12" spans="2:10" x14ac:dyDescent="0.25">
      <c r="B12" s="3445"/>
      <c r="C12" s="159"/>
      <c r="D12" s="159"/>
      <c r="E12" s="159"/>
      <c r="F12" s="159"/>
      <c r="G12" s="159"/>
      <c r="H12" s="159"/>
      <c r="I12" s="159"/>
      <c r="J12" s="3446"/>
    </row>
    <row r="13" spans="2:10" x14ac:dyDescent="0.25">
      <c r="B13" s="3445"/>
      <c r="C13" s="159"/>
      <c r="D13" s="159"/>
      <c r="E13" s="159"/>
      <c r="F13" s="159"/>
      <c r="G13" s="159"/>
      <c r="H13" s="159"/>
      <c r="I13" s="159"/>
      <c r="J13" s="3446"/>
    </row>
    <row r="14" spans="2:10" x14ac:dyDescent="0.25">
      <c r="B14" s="3445"/>
      <c r="C14" s="159"/>
      <c r="D14" s="159"/>
      <c r="E14" s="159"/>
      <c r="F14" s="159"/>
      <c r="G14" s="159"/>
      <c r="H14" s="159"/>
      <c r="I14" s="159"/>
      <c r="J14" s="3446"/>
    </row>
    <row r="15" spans="2:10" x14ac:dyDescent="0.25">
      <c r="B15" s="3445"/>
      <c r="C15" s="159"/>
      <c r="D15" s="159"/>
      <c r="E15" s="159"/>
      <c r="F15" s="159"/>
      <c r="G15" s="159"/>
      <c r="H15" s="159"/>
      <c r="I15" s="159"/>
      <c r="J15" s="3446"/>
    </row>
    <row r="16" spans="2:10" x14ac:dyDescent="0.25">
      <c r="B16" s="3445"/>
      <c r="C16" s="159"/>
      <c r="D16" s="159"/>
      <c r="E16" s="159"/>
      <c r="F16" s="159"/>
      <c r="G16" s="159"/>
      <c r="H16" s="159"/>
      <c r="I16" s="159"/>
      <c r="J16" s="3446"/>
    </row>
    <row r="17" spans="2:10" x14ac:dyDescent="0.25">
      <c r="B17" s="3445"/>
      <c r="C17" s="159"/>
      <c r="D17" s="159"/>
      <c r="E17" s="159"/>
      <c r="F17" s="159"/>
      <c r="G17" s="159"/>
      <c r="H17" s="159"/>
      <c r="I17" s="159"/>
      <c r="J17" s="3446"/>
    </row>
    <row r="18" spans="2:10" x14ac:dyDescent="0.25">
      <c r="B18" s="3445"/>
      <c r="C18" s="159"/>
      <c r="D18" s="159"/>
      <c r="E18" s="159"/>
      <c r="F18" s="159"/>
      <c r="G18" s="159"/>
      <c r="H18" s="159"/>
      <c r="I18" s="159"/>
      <c r="J18" s="3446"/>
    </row>
    <row r="19" spans="2:10" x14ac:dyDescent="0.25">
      <c r="B19" s="3445"/>
      <c r="C19" s="159"/>
      <c r="D19" s="159"/>
      <c r="E19" s="159"/>
      <c r="F19" s="159"/>
      <c r="G19" s="159"/>
      <c r="H19" s="159"/>
      <c r="I19" s="159"/>
      <c r="J19" s="3446"/>
    </row>
    <row r="20" spans="2:10" x14ac:dyDescent="0.25">
      <c r="B20" s="3445"/>
      <c r="C20" s="159"/>
      <c r="D20" s="159"/>
      <c r="E20" s="159"/>
      <c r="F20" s="159"/>
      <c r="G20" s="159"/>
      <c r="H20" s="159"/>
      <c r="I20" s="159"/>
      <c r="J20" s="3446"/>
    </row>
    <row r="21" spans="2:10" x14ac:dyDescent="0.25">
      <c r="B21" s="3445"/>
      <c r="C21" s="159"/>
      <c r="D21" s="159"/>
      <c r="E21" s="159"/>
      <c r="F21" s="159"/>
      <c r="G21" s="159"/>
      <c r="H21" s="159"/>
      <c r="I21" s="159"/>
      <c r="J21" s="3446"/>
    </row>
    <row r="22" spans="2:10" x14ac:dyDescent="0.25">
      <c r="B22" s="3445"/>
      <c r="C22" s="159"/>
      <c r="D22" s="159"/>
      <c r="E22" s="159"/>
      <c r="F22" s="159"/>
      <c r="G22" s="159"/>
      <c r="H22" s="159"/>
      <c r="I22" s="159"/>
      <c r="J22" s="3446"/>
    </row>
    <row r="23" spans="2:10" x14ac:dyDescent="0.25">
      <c r="B23" s="3445"/>
      <c r="C23" s="159"/>
      <c r="D23" s="159"/>
      <c r="E23" s="159"/>
      <c r="F23" s="159"/>
      <c r="G23" s="159"/>
      <c r="H23" s="159"/>
      <c r="I23" s="159"/>
      <c r="J23" s="3446"/>
    </row>
    <row r="24" spans="2:10" x14ac:dyDescent="0.25">
      <c r="B24" s="3445"/>
      <c r="C24" s="159"/>
      <c r="D24" s="159"/>
      <c r="E24" s="159"/>
      <c r="F24" s="159"/>
      <c r="G24" s="159"/>
      <c r="H24" s="159"/>
      <c r="I24" s="159"/>
      <c r="J24" s="3446"/>
    </row>
    <row r="25" spans="2:10" x14ac:dyDescent="0.25">
      <c r="B25" s="3445"/>
      <c r="C25" s="159"/>
      <c r="D25" s="159"/>
      <c r="E25" s="159"/>
      <c r="F25" s="159"/>
      <c r="G25" s="159"/>
      <c r="H25" s="159"/>
      <c r="I25" s="159"/>
      <c r="J25" s="3446"/>
    </row>
    <row r="26" spans="2:10" s="141" customFormat="1" x14ac:dyDescent="0.25">
      <c r="B26" s="3445"/>
      <c r="C26" s="159"/>
      <c r="D26" s="159"/>
      <c r="E26" s="159"/>
      <c r="F26" s="159"/>
      <c r="G26" s="159"/>
      <c r="H26" s="159"/>
      <c r="I26" s="159"/>
      <c r="J26" s="3446"/>
    </row>
    <row r="27" spans="2:10" s="141" customFormat="1" x14ac:dyDescent="0.25">
      <c r="B27" s="3445"/>
      <c r="C27" s="159"/>
      <c r="D27" s="159"/>
      <c r="E27" s="159"/>
      <c r="F27" s="159"/>
      <c r="G27" s="159"/>
      <c r="H27" s="159"/>
      <c r="I27" s="159"/>
      <c r="J27" s="3446"/>
    </row>
    <row r="28" spans="2:10" s="141" customFormat="1" x14ac:dyDescent="0.25">
      <c r="B28" s="3445"/>
      <c r="C28" s="159"/>
      <c r="D28" s="159"/>
      <c r="E28" s="159"/>
      <c r="F28" s="159"/>
      <c r="G28" s="159"/>
      <c r="H28" s="159"/>
      <c r="I28" s="159"/>
      <c r="J28" s="3446"/>
    </row>
    <row r="29" spans="2:10" s="141" customFormat="1" x14ac:dyDescent="0.25">
      <c r="B29" s="3445"/>
      <c r="C29" s="159"/>
      <c r="D29" s="159"/>
      <c r="E29" s="159"/>
      <c r="F29" s="159"/>
      <c r="G29" s="159"/>
      <c r="H29" s="159"/>
      <c r="I29" s="159"/>
      <c r="J29" s="3446"/>
    </row>
    <row r="30" spans="2:10" x14ac:dyDescent="0.25">
      <c r="B30" s="3445"/>
      <c r="C30" s="159"/>
      <c r="D30" s="159"/>
      <c r="E30" s="159"/>
      <c r="F30" s="159"/>
      <c r="G30" s="159"/>
      <c r="H30" s="159"/>
      <c r="I30" s="159"/>
      <c r="J30" s="3446"/>
    </row>
    <row r="31" spans="2:10" x14ac:dyDescent="0.25">
      <c r="B31" s="3445"/>
      <c r="C31" s="159"/>
      <c r="D31" s="159"/>
      <c r="E31" s="159"/>
      <c r="F31" s="159"/>
      <c r="G31" s="159"/>
      <c r="H31" s="159"/>
      <c r="I31" s="159"/>
      <c r="J31" s="3446"/>
    </row>
    <row r="32" spans="2:10" x14ac:dyDescent="0.25">
      <c r="B32" s="3445"/>
      <c r="C32" s="159"/>
      <c r="D32" s="159"/>
      <c r="E32" s="159"/>
      <c r="F32" s="159"/>
      <c r="G32" s="159"/>
      <c r="H32" s="159"/>
      <c r="I32" s="159"/>
      <c r="J32" s="3446"/>
    </row>
    <row r="33" spans="2:10" x14ac:dyDescent="0.25">
      <c r="B33" s="3445"/>
      <c r="C33" s="159"/>
      <c r="D33" s="159"/>
      <c r="E33" s="159"/>
      <c r="F33" s="159"/>
      <c r="G33" s="159"/>
      <c r="H33" s="159"/>
      <c r="I33" s="159"/>
      <c r="J33" s="3446"/>
    </row>
    <row r="34" spans="2:10" x14ac:dyDescent="0.25">
      <c r="B34" s="3445"/>
      <c r="C34" s="159"/>
      <c r="D34" s="159"/>
      <c r="E34" s="159"/>
      <c r="F34" s="159"/>
      <c r="G34" s="159"/>
      <c r="H34" s="159"/>
      <c r="I34" s="159"/>
      <c r="J34" s="3446"/>
    </row>
    <row r="35" spans="2:10" x14ac:dyDescent="0.25">
      <c r="B35" s="3445"/>
      <c r="C35" s="159"/>
      <c r="D35" s="159"/>
      <c r="E35" s="159"/>
      <c r="F35" s="159"/>
      <c r="G35" s="159"/>
      <c r="H35" s="159"/>
      <c r="I35" s="159"/>
      <c r="J35" s="3446"/>
    </row>
    <row r="36" spans="2:10" x14ac:dyDescent="0.25">
      <c r="B36" s="3445"/>
      <c r="C36" s="159"/>
      <c r="D36" s="159"/>
      <c r="E36" s="159"/>
      <c r="F36" s="159"/>
      <c r="G36" s="159"/>
      <c r="H36" s="159"/>
      <c r="I36" s="159"/>
      <c r="J36" s="3446"/>
    </row>
    <row r="37" spans="2:10" ht="14.4" thickBot="1" x14ac:dyDescent="0.3">
      <c r="B37" s="3447"/>
      <c r="C37" s="274"/>
      <c r="D37" s="274"/>
      <c r="E37" s="274"/>
      <c r="F37" s="274"/>
      <c r="G37" s="274"/>
      <c r="H37" s="274"/>
      <c r="I37" s="274"/>
      <c r="J37" s="3448"/>
    </row>
    <row r="38" spans="2:10" ht="14.4" thickTop="1" x14ac:dyDescent="0.25"/>
  </sheetData>
  <mergeCells count="7">
    <mergeCell ref="E3:F3"/>
    <mergeCell ref="H3:I3"/>
    <mergeCell ref="G3:G4"/>
    <mergeCell ref="J3:J4"/>
    <mergeCell ref="B3:B4"/>
    <mergeCell ref="C3:C4"/>
    <mergeCell ref="D3:D4"/>
  </mergeCells>
  <printOptions horizontalCentered="1"/>
  <pageMargins left="0.23622047244094491" right="0.23622047244094491" top="0.55118110236220474" bottom="0.35433070866141736" header="0" footer="0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O56"/>
  <sheetViews>
    <sheetView topLeftCell="A18" zoomScaleNormal="100" workbookViewId="0">
      <selection activeCell="D31" sqref="D31"/>
    </sheetView>
  </sheetViews>
  <sheetFormatPr baseColWidth="10" defaultColWidth="11.44140625" defaultRowHeight="13.8" x14ac:dyDescent="0.25"/>
  <cols>
    <col min="1" max="1" width="17.88671875" style="141" customWidth="1"/>
    <col min="2" max="2" width="8.33203125" style="141" customWidth="1"/>
    <col min="3" max="3" width="28.88671875" style="141" customWidth="1"/>
    <col min="4" max="4" width="12.44140625" style="141" customWidth="1"/>
    <col min="5" max="5" width="12" style="141" customWidth="1"/>
    <col min="6" max="6" width="11.6640625" style="141" customWidth="1"/>
    <col min="7" max="7" width="12.77734375" style="141" customWidth="1"/>
    <col min="8" max="8" width="5.6640625" style="141" customWidth="1"/>
    <col min="9" max="9" width="6.88671875" style="141" customWidth="1"/>
    <col min="10" max="10" width="12" style="141" bestFit="1" customWidth="1"/>
    <col min="11" max="11" width="11.109375" style="141" customWidth="1"/>
    <col min="12" max="12" width="13" style="141" customWidth="1"/>
    <col min="13" max="13" width="11.6640625" style="141" customWidth="1"/>
    <col min="14" max="14" width="10.88671875" style="141" customWidth="1"/>
    <col min="15" max="15" width="12.6640625" style="141" customWidth="1"/>
    <col min="16" max="16384" width="11.44140625" style="141"/>
  </cols>
  <sheetData>
    <row r="1" spans="1:7" x14ac:dyDescent="0.25">
      <c r="C1" s="4253" t="s">
        <v>1432</v>
      </c>
      <c r="D1" s="4253"/>
      <c r="E1" s="4253"/>
      <c r="F1" s="4253"/>
    </row>
    <row r="2" spans="1:7" x14ac:dyDescent="0.25">
      <c r="C2" s="4253"/>
      <c r="D2" s="4253"/>
      <c r="E2" s="4253"/>
      <c r="F2" s="4253"/>
    </row>
    <row r="3" spans="1:7" ht="20.399999999999999" x14ac:dyDescent="0.35">
      <c r="A3" s="4260" t="s">
        <v>1431</v>
      </c>
      <c r="B3" s="4260"/>
      <c r="C3" s="4260"/>
      <c r="D3" s="4260"/>
      <c r="E3" s="4260"/>
      <c r="F3" s="4260"/>
      <c r="G3" s="4260"/>
    </row>
    <row r="6" spans="1:7" ht="14.4" thickBot="1" x14ac:dyDescent="0.3"/>
    <row r="7" spans="1:7" x14ac:dyDescent="0.25">
      <c r="A7" s="4261" t="s">
        <v>1430</v>
      </c>
      <c r="B7" s="2777"/>
      <c r="C7" s="4263" t="s">
        <v>370</v>
      </c>
      <c r="D7" s="4251" t="s">
        <v>369</v>
      </c>
      <c r="E7" s="4251" t="s">
        <v>1429</v>
      </c>
      <c r="F7" s="4251" t="s">
        <v>368</v>
      </c>
      <c r="G7" s="4258" t="s">
        <v>367</v>
      </c>
    </row>
    <row r="8" spans="1:7" ht="14.4" thickBot="1" x14ac:dyDescent="0.3">
      <c r="A8" s="4262"/>
      <c r="B8" s="2778"/>
      <c r="C8" s="4264"/>
      <c r="D8" s="4252"/>
      <c r="E8" s="4252"/>
      <c r="F8" s="4252"/>
      <c r="G8" s="4259"/>
    </row>
    <row r="9" spans="1:7" ht="15" customHeight="1" thickBot="1" x14ac:dyDescent="0.3">
      <c r="A9" s="206" t="str">
        <f>'[3]Gr liv ACT-PAS'!M3</f>
        <v>Capital</v>
      </c>
      <c r="B9" s="486"/>
      <c r="C9" s="205" t="s">
        <v>1336</v>
      </c>
      <c r="D9" s="66">
        <f>'Gr liv ACT-PAS'!Q9</f>
        <v>0</v>
      </c>
      <c r="E9" s="2103">
        <f>'Gr liv ACT-PAS'!R9</f>
        <v>138600</v>
      </c>
      <c r="F9" s="202">
        <f t="shared" ref="F9:F30" si="0">IF(D9&gt;E9,D9-E9,0)</f>
        <v>0</v>
      </c>
      <c r="G9" s="201">
        <f t="shared" ref="G9:G30" si="1">IF(D9&lt;E9,E9-D9,0)</f>
        <v>138600</v>
      </c>
    </row>
    <row r="10" spans="1:7" ht="15" customHeight="1" thickBot="1" x14ac:dyDescent="0.3">
      <c r="A10" s="206" t="str">
        <f>'[3]Gr liv ACT-PAS'!M11</f>
        <v>Emprunt</v>
      </c>
      <c r="B10" s="486"/>
      <c r="C10" s="205" t="s">
        <v>1856</v>
      </c>
      <c r="D10" s="204">
        <f>'Gr liv ACT-PAS'!Q31</f>
        <v>0</v>
      </c>
      <c r="E10" s="204"/>
      <c r="F10" s="202">
        <f t="shared" si="0"/>
        <v>0</v>
      </c>
      <c r="G10" s="201">
        <f t="shared" si="1"/>
        <v>0</v>
      </c>
    </row>
    <row r="11" spans="1:7" ht="15" customHeight="1" thickBot="1" x14ac:dyDescent="0.3">
      <c r="A11" s="486" t="s">
        <v>1876</v>
      </c>
      <c r="B11" s="486"/>
      <c r="C11" s="205" t="s">
        <v>1877</v>
      </c>
      <c r="D11" s="204">
        <f>'CLIENTS(400-290)'!V108</f>
        <v>0</v>
      </c>
      <c r="E11" s="204">
        <f>'CLIENTS(400-290)'!U108</f>
        <v>0</v>
      </c>
      <c r="F11" s="202">
        <f t="shared" si="0"/>
        <v>0</v>
      </c>
      <c r="G11" s="201">
        <f t="shared" si="1"/>
        <v>0</v>
      </c>
    </row>
    <row r="12" spans="1:7" ht="15" customHeight="1" thickBot="1" x14ac:dyDescent="0.3">
      <c r="A12" s="486"/>
      <c r="B12" s="486"/>
      <c r="C12" s="205" t="s">
        <v>2172</v>
      </c>
      <c r="D12" s="204"/>
      <c r="E12" s="204">
        <f>'Gr liv ACT-PAS'!R18</f>
        <v>0</v>
      </c>
      <c r="F12" s="202">
        <f t="shared" si="0"/>
        <v>0</v>
      </c>
      <c r="G12" s="201">
        <f t="shared" si="1"/>
        <v>0</v>
      </c>
    </row>
    <row r="13" spans="1:7" ht="15" customHeight="1" thickBot="1" x14ac:dyDescent="0.3">
      <c r="A13" s="486"/>
      <c r="B13" s="486"/>
      <c r="C13" s="205" t="s">
        <v>2173</v>
      </c>
      <c r="D13" s="204"/>
      <c r="E13" s="204">
        <f>'Gr liv ACT-PAS'!R31</f>
        <v>0</v>
      </c>
      <c r="F13" s="202">
        <f t="shared" si="0"/>
        <v>0</v>
      </c>
      <c r="G13" s="201">
        <f t="shared" si="1"/>
        <v>0</v>
      </c>
    </row>
    <row r="14" spans="1:7" ht="15" customHeight="1" thickBot="1" x14ac:dyDescent="0.3">
      <c r="A14" s="414" t="s">
        <v>1712</v>
      </c>
      <c r="B14" s="414">
        <v>22000</v>
      </c>
      <c r="C14" s="205" t="s">
        <v>1857</v>
      </c>
      <c r="D14" s="204">
        <f>'Gr liv ACT-PAS'!C19</f>
        <v>0</v>
      </c>
      <c r="E14" s="204">
        <f>'Gr liv ACT-PAS'!D19</f>
        <v>0</v>
      </c>
      <c r="F14" s="202">
        <f t="shared" si="0"/>
        <v>0</v>
      </c>
      <c r="G14" s="201">
        <f t="shared" si="1"/>
        <v>0</v>
      </c>
    </row>
    <row r="15" spans="1:7" ht="15" customHeight="1" thickBot="1" x14ac:dyDescent="0.3">
      <c r="A15" s="1728" t="s">
        <v>2163</v>
      </c>
      <c r="B15" s="1728">
        <v>2131</v>
      </c>
      <c r="C15" s="205" t="s">
        <v>2174</v>
      </c>
      <c r="D15" s="204">
        <f>'Gr liv ACT-PAS'!C9</f>
        <v>75000</v>
      </c>
      <c r="E15" s="204">
        <f>'Gr liv ACT-PAS'!D9</f>
        <v>0</v>
      </c>
      <c r="F15" s="202">
        <f t="shared" si="0"/>
        <v>75000</v>
      </c>
      <c r="G15" s="201">
        <f t="shared" si="1"/>
        <v>0</v>
      </c>
    </row>
    <row r="16" spans="1:7" ht="15" customHeight="1" thickBot="1" x14ac:dyDescent="0.3">
      <c r="A16" s="206" t="s">
        <v>226</v>
      </c>
      <c r="B16" s="486">
        <v>23700</v>
      </c>
      <c r="C16" s="205" t="s">
        <v>1601</v>
      </c>
      <c r="D16" s="204">
        <f>'Gr liv ACT-PAS'!C52</f>
        <v>0</v>
      </c>
      <c r="E16" s="204">
        <f>'Gr liv ACT-PAS'!D52</f>
        <v>0</v>
      </c>
      <c r="F16" s="202">
        <f t="shared" si="0"/>
        <v>0</v>
      </c>
      <c r="G16" s="201">
        <f t="shared" si="1"/>
        <v>0</v>
      </c>
    </row>
    <row r="17" spans="1:13" ht="15" customHeight="1" thickBot="1" x14ac:dyDescent="0.3">
      <c r="A17" s="206" t="s">
        <v>218</v>
      </c>
      <c r="B17" s="486">
        <v>24000</v>
      </c>
      <c r="C17" s="205" t="s">
        <v>1594</v>
      </c>
      <c r="D17" s="204">
        <f>'Gr liv ACT-PAS'!C63</f>
        <v>4250</v>
      </c>
      <c r="E17" s="204">
        <f>'Gr liv ACT-PAS'!D62</f>
        <v>750</v>
      </c>
      <c r="F17" s="202">
        <f>IF(D17&gt;E17,D17-E17,0)</f>
        <v>3500</v>
      </c>
      <c r="G17" s="201">
        <f t="shared" si="1"/>
        <v>0</v>
      </c>
      <c r="J17" s="47"/>
    </row>
    <row r="18" spans="1:13" ht="15" customHeight="1" thickBot="1" x14ac:dyDescent="0.3">
      <c r="A18" s="206" t="s">
        <v>1698</v>
      </c>
      <c r="B18" s="486">
        <v>24100</v>
      </c>
      <c r="C18" s="205" t="s">
        <v>1948</v>
      </c>
      <c r="D18" s="204">
        <f>'Gr liv ACT-PAS'!C75</f>
        <v>0</v>
      </c>
      <c r="E18" s="204">
        <f>'Gr liv ACT-PAS'!D75</f>
        <v>0</v>
      </c>
      <c r="F18" s="202">
        <f t="shared" si="0"/>
        <v>0</v>
      </c>
      <c r="G18" s="201">
        <f t="shared" si="1"/>
        <v>0</v>
      </c>
      <c r="J18" s="47"/>
    </row>
    <row r="19" spans="1:13" ht="15" customHeight="1" thickBot="1" x14ac:dyDescent="0.3">
      <c r="A19" s="206" t="s">
        <v>1428</v>
      </c>
      <c r="B19" s="486">
        <v>36000</v>
      </c>
      <c r="C19" s="205" t="s">
        <v>1600</v>
      </c>
      <c r="D19" s="204">
        <f>'Gr liv ACT-PAS'!C91</f>
        <v>10000</v>
      </c>
      <c r="E19" s="203">
        <f>'Gr liv ACT-PAS'!D90</f>
        <v>5000</v>
      </c>
      <c r="F19" s="202">
        <f t="shared" si="0"/>
        <v>5000</v>
      </c>
      <c r="G19" s="201">
        <f t="shared" si="1"/>
        <v>0</v>
      </c>
    </row>
    <row r="20" spans="1:13" ht="15" customHeight="1" thickBot="1" x14ac:dyDescent="0.3">
      <c r="A20" s="206" t="s">
        <v>2290</v>
      </c>
      <c r="B20" s="486">
        <v>400</v>
      </c>
      <c r="C20" s="205" t="s">
        <v>2328</v>
      </c>
      <c r="D20" s="204">
        <f>'CLIENTS(400-290)'!M25</f>
        <v>6250</v>
      </c>
      <c r="E20" s="204">
        <f>'CLIENTS(400-290)'!S27</f>
        <v>0</v>
      </c>
      <c r="F20" s="202">
        <f t="shared" si="0"/>
        <v>6250</v>
      </c>
      <c r="G20" s="201">
        <f t="shared" si="1"/>
        <v>0</v>
      </c>
      <c r="H20" s="141" t="s">
        <v>2003</v>
      </c>
      <c r="I20" s="3889" t="s">
        <v>1940</v>
      </c>
      <c r="J20" s="3889"/>
      <c r="K20" s="3889"/>
      <c r="L20" s="3889"/>
    </row>
    <row r="21" spans="1:13" ht="15" customHeight="1" thickBot="1" x14ac:dyDescent="0.3">
      <c r="A21" s="206" t="s">
        <v>2296</v>
      </c>
      <c r="B21" s="486">
        <v>290</v>
      </c>
      <c r="C21" s="205" t="s">
        <v>2329</v>
      </c>
      <c r="D21" s="204">
        <f>'CLIENTS(400-290)'!Q49</f>
        <v>0</v>
      </c>
      <c r="E21" s="204">
        <f>'CLIENTS(400-290)'!Q53</f>
        <v>0</v>
      </c>
      <c r="F21" s="202">
        <f>IF(D21&gt;E21,D21-E21,0)</f>
        <v>0</v>
      </c>
      <c r="G21" s="201">
        <f>IF(D21&lt;E21,E21-D21,0)</f>
        <v>0</v>
      </c>
      <c r="H21" s="141" t="s">
        <v>2003</v>
      </c>
      <c r="I21" s="2618"/>
      <c r="J21" s="2618"/>
      <c r="K21" s="2618"/>
      <c r="L21" s="2618"/>
    </row>
    <row r="22" spans="1:13" ht="15" customHeight="1" thickBot="1" x14ac:dyDescent="0.3">
      <c r="A22" s="206" t="s">
        <v>1427</v>
      </c>
      <c r="B22" s="486"/>
      <c r="C22" s="205" t="s">
        <v>1612</v>
      </c>
      <c r="D22" s="204">
        <f>'Gr liv ACT-PAS'!X193</f>
        <v>0</v>
      </c>
      <c r="E22" s="204">
        <f>'Gr liv ACT-PAS'!Y193</f>
        <v>0</v>
      </c>
      <c r="F22" s="202">
        <f t="shared" si="0"/>
        <v>0</v>
      </c>
      <c r="G22" s="201">
        <f t="shared" si="1"/>
        <v>0</v>
      </c>
      <c r="I22" s="3889" t="s">
        <v>2189</v>
      </c>
      <c r="J22" s="3889"/>
      <c r="K22" s="3889"/>
      <c r="L22" s="3889"/>
    </row>
    <row r="23" spans="1:13" ht="15" customHeight="1" thickBot="1" x14ac:dyDescent="0.3">
      <c r="A23" s="206"/>
      <c r="B23" s="486">
        <v>23100</v>
      </c>
      <c r="C23" s="205" t="s">
        <v>1945</v>
      </c>
      <c r="D23" s="204">
        <f>'Gr liv ACT-PAS'!Q151</f>
        <v>0</v>
      </c>
      <c r="E23" s="204"/>
      <c r="F23" s="202">
        <f t="shared" si="0"/>
        <v>0</v>
      </c>
      <c r="G23" s="201">
        <f t="shared" si="1"/>
        <v>0</v>
      </c>
      <c r="J23" s="2106"/>
      <c r="K23" s="2106"/>
    </row>
    <row r="24" spans="1:13" ht="15" customHeight="1" thickBot="1" x14ac:dyDescent="0.3">
      <c r="A24" s="206" t="s">
        <v>2335</v>
      </c>
      <c r="B24" s="486"/>
      <c r="C24" s="205" t="s">
        <v>1596</v>
      </c>
      <c r="D24" s="204">
        <f ca="1">'CLIENTS(400-290)'!M78</f>
        <v>0</v>
      </c>
      <c r="E24" s="204">
        <f ca="1">'CLIENTS(400-290)'!N78</f>
        <v>0</v>
      </c>
      <c r="F24" s="202">
        <f t="shared" ca="1" si="0"/>
        <v>0</v>
      </c>
      <c r="G24" s="201">
        <f ca="1">IF(D24&lt;E24,E24-D24,0)</f>
        <v>0</v>
      </c>
      <c r="J24" s="2106"/>
      <c r="K24" s="2106"/>
    </row>
    <row r="25" spans="1:13" ht="15" customHeight="1" thickBot="1" x14ac:dyDescent="0.3">
      <c r="A25" s="206" t="s">
        <v>1613</v>
      </c>
      <c r="B25" s="486"/>
      <c r="C25" s="205" t="s">
        <v>1606</v>
      </c>
      <c r="D25" s="204">
        <f>'Gr liv ACT-PAS'!AC193</f>
        <v>0</v>
      </c>
      <c r="E25" s="204">
        <f>'Gr liv ACT-PAS'!AD193</f>
        <v>0</v>
      </c>
      <c r="F25" s="202">
        <f t="shared" si="0"/>
        <v>0</v>
      </c>
      <c r="G25" s="201">
        <f t="shared" si="1"/>
        <v>0</v>
      </c>
    </row>
    <row r="26" spans="1:13" ht="15" customHeight="1" thickBot="1" x14ac:dyDescent="0.3">
      <c r="A26" s="206" t="s">
        <v>169</v>
      </c>
      <c r="B26" s="486"/>
      <c r="C26" s="205" t="s">
        <v>1603</v>
      </c>
      <c r="D26" s="204">
        <f>'CLIENTS(400-290)'!C113</f>
        <v>25000</v>
      </c>
      <c r="E26" s="204">
        <f>'CLIENTS(400-290)'!D113</f>
        <v>0</v>
      </c>
      <c r="F26" s="202">
        <f t="shared" si="0"/>
        <v>25000</v>
      </c>
      <c r="G26" s="201">
        <f t="shared" si="1"/>
        <v>0</v>
      </c>
      <c r="I26" s="342"/>
      <c r="J26" s="331" t="s">
        <v>1631</v>
      </c>
      <c r="K26" s="331" t="s">
        <v>1632</v>
      </c>
    </row>
    <row r="27" spans="1:13" ht="15" customHeight="1" thickBot="1" x14ac:dyDescent="0.3">
      <c r="A27" s="206" t="str">
        <f>'[3]Gr liv ACT-PAS'!C88</f>
        <v>banq poste</v>
      </c>
      <c r="B27" s="486"/>
      <c r="C27" s="205" t="s">
        <v>1604</v>
      </c>
      <c r="D27" s="204">
        <f>'CLIENTS(400-290)'!H113</f>
        <v>4800</v>
      </c>
      <c r="E27" s="204">
        <f>'Gr liv ACT-PAS'!I155</f>
        <v>0</v>
      </c>
      <c r="F27" s="202">
        <f t="shared" si="0"/>
        <v>4800</v>
      </c>
      <c r="G27" s="201">
        <f t="shared" si="1"/>
        <v>0</v>
      </c>
      <c r="I27" s="2104" t="s">
        <v>366</v>
      </c>
      <c r="J27" s="144" t="e">
        <f ca="1">SUM(F9:F28)</f>
        <v>#N/A</v>
      </c>
      <c r="K27" s="2105" t="e">
        <f ca="1">SUM(G9:G28)</f>
        <v>#N/A</v>
      </c>
      <c r="M27" s="47" t="e">
        <f ca="1">J27-K27</f>
        <v>#N/A</v>
      </c>
    </row>
    <row r="28" spans="1:13" ht="15" customHeight="1" x14ac:dyDescent="0.25">
      <c r="A28" s="364" t="str">
        <f>'[3]Gr liv ACT-PAS'!C96</f>
        <v>caisse</v>
      </c>
      <c r="B28" s="2779"/>
      <c r="C28" s="365" t="s">
        <v>1605</v>
      </c>
      <c r="D28" s="204">
        <f>'CLIENTS(400-290)'!M113</f>
        <v>900</v>
      </c>
      <c r="E28" s="204">
        <f>'CLIENTS(400-290)'!I113</f>
        <v>0</v>
      </c>
      <c r="F28" s="366">
        <f t="shared" si="0"/>
        <v>900</v>
      </c>
      <c r="G28" s="367">
        <f t="shared" si="1"/>
        <v>0</v>
      </c>
      <c r="H28" s="538"/>
      <c r="I28" s="538"/>
      <c r="J28" s="539"/>
      <c r="K28" s="539"/>
      <c r="L28" s="539"/>
      <c r="M28" s="539"/>
    </row>
    <row r="29" spans="1:13" ht="15" customHeight="1" thickBot="1" x14ac:dyDescent="0.35">
      <c r="A29" s="206" t="str">
        <f>'[3]Gr liv ACT-PAS'!C113</f>
        <v>Achat march</v>
      </c>
      <c r="B29" s="486"/>
      <c r="C29" s="205" t="s">
        <v>1597</v>
      </c>
      <c r="D29" s="204">
        <f>'Gr liv ACT-PAS'!C197</f>
        <v>0</v>
      </c>
      <c r="E29" s="204">
        <f>'Gr liv ACT-PAS'!D233</f>
        <v>0</v>
      </c>
      <c r="F29" s="322">
        <f t="shared" si="0"/>
        <v>0</v>
      </c>
      <c r="G29" s="201">
        <f t="shared" si="1"/>
        <v>0</v>
      </c>
      <c r="I29" s="4265" t="s">
        <v>1941</v>
      </c>
      <c r="J29" s="4266"/>
      <c r="K29" s="4266"/>
      <c r="L29" s="4266"/>
      <c r="M29" s="3"/>
    </row>
    <row r="30" spans="1:13" ht="15" customHeight="1" thickBot="1" x14ac:dyDescent="0.3">
      <c r="A30" s="206" t="str">
        <f>'[3]Gr liv ACT-PAS'!M113</f>
        <v>Vente Mach</v>
      </c>
      <c r="B30" s="486"/>
      <c r="C30" s="205" t="s">
        <v>1599</v>
      </c>
      <c r="D30" s="204">
        <f>'Gr liv ACT-PAS'!M235</f>
        <v>0</v>
      </c>
      <c r="E30" s="204" t="e">
        <f>'Gr liv ACT-PAS'!O234</f>
        <v>#VALUE!</v>
      </c>
      <c r="F30" s="202" t="e">
        <f t="shared" si="0"/>
        <v>#VALUE!</v>
      </c>
      <c r="G30" s="323" t="e">
        <f t="shared" si="1"/>
        <v>#VALUE!</v>
      </c>
      <c r="J30" s="343">
        <f>$F$29</f>
        <v>0</v>
      </c>
      <c r="K30" s="344" t="e">
        <f>$G$30</f>
        <v>#VALUE!</v>
      </c>
      <c r="L30" s="3"/>
      <c r="M30" s="3"/>
    </row>
    <row r="31" spans="1:13" ht="15" customHeight="1" thickBot="1" x14ac:dyDescent="0.3">
      <c r="A31" s="200" t="s">
        <v>309</v>
      </c>
      <c r="B31" s="2780"/>
      <c r="C31" s="2455" t="s">
        <v>2288</v>
      </c>
      <c r="D31" s="199" t="e">
        <f ca="1">SUM(D9:D30)</f>
        <v>#N/A</v>
      </c>
      <c r="E31" s="198">
        <f ca="1">SUM(E9:E30)</f>
        <v>0</v>
      </c>
      <c r="F31" s="197" t="e">
        <f ca="1">SUM(F9:F30)</f>
        <v>#N/A</v>
      </c>
      <c r="G31" s="196" t="e">
        <f ca="1">SUM(G9:G30)</f>
        <v>#N/A</v>
      </c>
      <c r="J31" s="63"/>
      <c r="K31" s="63"/>
      <c r="L31" s="3"/>
      <c r="M31" s="3"/>
    </row>
    <row r="32" spans="1:13" ht="15" customHeight="1" thickBot="1" x14ac:dyDescent="0.35">
      <c r="A32" s="195"/>
      <c r="B32" s="2781"/>
      <c r="C32" s="2456" t="s">
        <v>2287</v>
      </c>
      <c r="D32" s="4254" t="e">
        <f ca="1">IF(D31=E31,"Ok","Erreur")</f>
        <v>#REF!</v>
      </c>
      <c r="E32" s="4255"/>
      <c r="F32" s="4256" t="e">
        <f ca="1">IF(F31=G31,"Ok","Erreur")</f>
        <v>#N/A</v>
      </c>
      <c r="G32" s="4257"/>
      <c r="I32" s="59"/>
      <c r="J32" s="202" t="e">
        <f>IF(J30&gt;K30,J30-K30,0)</f>
        <v>#VALUE!</v>
      </c>
      <c r="K32" s="537" t="e">
        <f>IF(J30&lt;K30,K30-J30,0)</f>
        <v>#VALUE!</v>
      </c>
      <c r="L32" s="3888" t="s">
        <v>1634</v>
      </c>
      <c r="M32" s="4267"/>
    </row>
    <row r="33" spans="1:15" x14ac:dyDescent="0.25">
      <c r="I33" s="59"/>
      <c r="J33" s="3"/>
      <c r="L33" s="4268" t="s">
        <v>1633</v>
      </c>
      <c r="M33" s="4269"/>
    </row>
    <row r="34" spans="1:15" ht="15" customHeight="1" x14ac:dyDescent="0.25">
      <c r="C34" s="4250" t="s">
        <v>1426</v>
      </c>
      <c r="D34" s="4250"/>
      <c r="E34" s="4250"/>
      <c r="F34" s="4250"/>
      <c r="G34" s="4250"/>
      <c r="I34" s="59"/>
      <c r="J34" s="3"/>
      <c r="K34" s="144" t="e">
        <f>SUM(K31:K33)</f>
        <v>#VALUE!</v>
      </c>
      <c r="L34" s="3889" t="s">
        <v>2131</v>
      </c>
      <c r="M34" s="3889"/>
    </row>
    <row r="35" spans="1:15" x14ac:dyDescent="0.25">
      <c r="C35" s="4250"/>
      <c r="D35" s="4250"/>
      <c r="E35" s="4250"/>
      <c r="F35" s="4250"/>
      <c r="G35" s="4250"/>
      <c r="I35" s="59"/>
      <c r="J35" s="515" t="s">
        <v>1635</v>
      </c>
      <c r="K35" s="516"/>
      <c r="L35" s="3"/>
      <c r="M35" s="3"/>
    </row>
    <row r="36" spans="1:15" ht="14.4" thickBot="1" x14ac:dyDescent="0.3">
      <c r="A36" s="3"/>
      <c r="B36" s="3"/>
      <c r="C36" s="3"/>
      <c r="D36" s="193"/>
      <c r="E36" s="194"/>
      <c r="F36" s="193"/>
      <c r="G36" s="3"/>
      <c r="I36" s="58"/>
      <c r="J36" s="345" t="s">
        <v>1636</v>
      </c>
      <c r="K36" s="346" t="s">
        <v>1637</v>
      </c>
      <c r="L36" s="63"/>
      <c r="M36" s="63"/>
    </row>
    <row r="37" spans="1:15" x14ac:dyDescent="0.25">
      <c r="A37" s="192" t="s">
        <v>1425</v>
      </c>
      <c r="B37" s="192"/>
      <c r="C37" s="3"/>
      <c r="D37" s="7"/>
      <c r="E37" s="7"/>
      <c r="F37" s="7"/>
      <c r="G37" s="3"/>
    </row>
    <row r="38" spans="1:15" x14ac:dyDescent="0.25">
      <c r="A38" s="192" t="s">
        <v>1424</v>
      </c>
      <c r="B38" s="192"/>
      <c r="C38" s="3"/>
      <c r="D38" s="135"/>
      <c r="E38" s="135"/>
      <c r="F38" s="135"/>
      <c r="G38" s="3"/>
    </row>
    <row r="39" spans="1:15" x14ac:dyDescent="0.25">
      <c r="A39" s="192" t="s">
        <v>1607</v>
      </c>
      <c r="B39" s="192"/>
      <c r="C39" s="3"/>
      <c r="D39" s="135"/>
      <c r="E39" s="135"/>
      <c r="F39" s="135"/>
      <c r="G39" s="3"/>
    </row>
    <row r="40" spans="1:15" x14ac:dyDescent="0.25">
      <c r="A40" s="192"/>
      <c r="B40" s="192"/>
      <c r="C40" s="3"/>
      <c r="D40" s="135"/>
      <c r="E40" s="135"/>
      <c r="F40" s="135"/>
      <c r="G40" s="3"/>
    </row>
    <row r="41" spans="1:15" x14ac:dyDescent="0.25">
      <c r="A41" s="192" t="s">
        <v>1608</v>
      </c>
      <c r="B41" s="192"/>
      <c r="C41" s="3"/>
      <c r="D41" s="135"/>
      <c r="E41" s="135"/>
      <c r="F41" s="135"/>
      <c r="G41" s="3"/>
    </row>
    <row r="42" spans="1:15" x14ac:dyDescent="0.25">
      <c r="A42" s="321" t="s">
        <v>1609</v>
      </c>
      <c r="B42" s="321"/>
      <c r="C42" s="3"/>
      <c r="D42" s="3"/>
      <c r="E42" s="3"/>
      <c r="F42" s="3"/>
      <c r="G42" s="3"/>
    </row>
    <row r="43" spans="1:15" x14ac:dyDescent="0.25">
      <c r="A43" s="321" t="s">
        <v>1611</v>
      </c>
      <c r="B43" s="321"/>
      <c r="C43" s="3"/>
      <c r="D43" s="3"/>
      <c r="E43" s="3"/>
      <c r="F43" s="3"/>
      <c r="G43" s="3"/>
    </row>
    <row r="44" spans="1:15" x14ac:dyDescent="0.25">
      <c r="A44" s="321"/>
      <c r="B44" s="321"/>
      <c r="C44" s="3"/>
      <c r="D44" s="3"/>
      <c r="E44" s="3"/>
      <c r="F44" s="3"/>
      <c r="G44" s="3"/>
    </row>
    <row r="45" spans="1:15" s="45" customFormat="1" x14ac:dyDescent="0.25">
      <c r="A45" s="45" t="s">
        <v>1610</v>
      </c>
      <c r="J45" s="141"/>
      <c r="K45" s="141"/>
      <c r="L45" s="141"/>
      <c r="M45" s="141"/>
      <c r="N45" s="141"/>
      <c r="O45" s="141"/>
    </row>
    <row r="46" spans="1:15" x14ac:dyDescent="0.25">
      <c r="A46" s="3"/>
      <c r="B46" s="3"/>
      <c r="C46" s="3"/>
      <c r="D46" s="3"/>
      <c r="E46" s="3"/>
      <c r="F46" s="3"/>
      <c r="G46" s="3"/>
    </row>
    <row r="56" spans="10:15" x14ac:dyDescent="0.25">
      <c r="J56" s="45"/>
      <c r="K56" s="45"/>
      <c r="L56" s="45"/>
      <c r="M56" s="45"/>
      <c r="N56" s="45"/>
      <c r="O56" s="45"/>
    </row>
  </sheetData>
  <mergeCells count="17">
    <mergeCell ref="I29:L29"/>
    <mergeCell ref="L32:M32"/>
    <mergeCell ref="L34:M34"/>
    <mergeCell ref="L33:M33"/>
    <mergeCell ref="I20:L20"/>
    <mergeCell ref="I22:L22"/>
    <mergeCell ref="C34:G35"/>
    <mergeCell ref="F7:F8"/>
    <mergeCell ref="C1:F2"/>
    <mergeCell ref="D32:E32"/>
    <mergeCell ref="F32:G32"/>
    <mergeCell ref="G7:G8"/>
    <mergeCell ref="A3:G3"/>
    <mergeCell ref="A7:A8"/>
    <mergeCell ref="C7:C8"/>
    <mergeCell ref="D7:D8"/>
    <mergeCell ref="E7:E8"/>
  </mergeCells>
  <dataValidations count="1">
    <dataValidation type="list" allowBlank="1" showInputMessage="1" showErrorMessage="1" sqref="C9:C30">
      <formula1>IF(COUNTIF(Plan20,C9)=0,Plan20,OFFSET(Plan10,1,MATCH(C9,Plan20,0)-1,COUNTA(OFFSET(Plan10,,MATCH(C9,Plan20,0)-1))-1))</formula1>
    </dataValidation>
  </dataValidations>
  <pageMargins left="0.25" right="0.25" top="0.75" bottom="0.75" header="0.3" footer="0.3"/>
  <pageSetup paperSize="9" scale="50" fitToHeight="0" orientation="portrait" r:id="rId1"/>
  <headerFooter>
    <oddHeader>&amp;Ldernoncourt
jordan&amp;Csi noel 2014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2:I60"/>
  <sheetViews>
    <sheetView topLeftCell="A27" zoomScaleNormal="100" workbookViewId="0">
      <selection activeCell="J40" sqref="J40"/>
    </sheetView>
  </sheetViews>
  <sheetFormatPr baseColWidth="10" defaultColWidth="11.44140625" defaultRowHeight="13.8" x14ac:dyDescent="0.25"/>
  <cols>
    <col min="1" max="1" width="4.33203125" style="2181" customWidth="1"/>
    <col min="2" max="2" width="9.6640625" style="2181" customWidth="1"/>
    <col min="3" max="3" width="13.33203125" style="2181" customWidth="1"/>
    <col min="4" max="4" width="15.44140625" style="2181" customWidth="1"/>
    <col min="5" max="5" width="14.33203125" style="2181" customWidth="1"/>
    <col min="6" max="6" width="14" style="2181" customWidth="1"/>
    <col min="7" max="7" width="13.6640625" style="2181" customWidth="1"/>
    <col min="8" max="16384" width="11.44140625" style="2181"/>
  </cols>
  <sheetData>
    <row r="2" spans="1:7" x14ac:dyDescent="0.25">
      <c r="B2" s="4274" t="s">
        <v>373</v>
      </c>
      <c r="C2" s="4275"/>
      <c r="D2" s="4275"/>
      <c r="E2" s="4275"/>
      <c r="F2" s="4275"/>
      <c r="G2" s="4276"/>
    </row>
    <row r="3" spans="1:7" ht="14.4" thickBot="1" x14ac:dyDescent="0.3">
      <c r="B3" s="4277"/>
      <c r="C3" s="4278"/>
      <c r="D3" s="4278"/>
      <c r="E3" s="4278"/>
      <c r="F3" s="4278"/>
      <c r="G3" s="4279"/>
    </row>
    <row r="4" spans="1:7" ht="15" customHeight="1" x14ac:dyDescent="0.25">
      <c r="B4" s="4291" t="s">
        <v>2214</v>
      </c>
      <c r="C4" s="4292"/>
      <c r="D4" s="4292"/>
      <c r="E4" s="4292"/>
      <c r="F4" s="4292"/>
      <c r="G4" s="4293"/>
    </row>
    <row r="5" spans="1:7" ht="15" customHeight="1" thickBot="1" x14ac:dyDescent="0.3">
      <c r="B5" s="4294"/>
      <c r="C5" s="4295"/>
      <c r="D5" s="4295"/>
      <c r="E5" s="4295"/>
      <c r="F5" s="4295"/>
      <c r="G5" s="4296"/>
    </row>
    <row r="6" spans="1:7" ht="15" customHeight="1" x14ac:dyDescent="0.25">
      <c r="B6" s="2182" t="s">
        <v>372</v>
      </c>
      <c r="C6" s="2183" t="s">
        <v>370</v>
      </c>
      <c r="D6" s="2183" t="s">
        <v>2201</v>
      </c>
      <c r="E6" s="2183" t="s">
        <v>2200</v>
      </c>
      <c r="F6" s="2184" t="s">
        <v>368</v>
      </c>
      <c r="G6" s="2185" t="s">
        <v>367</v>
      </c>
    </row>
    <row r="7" spans="1:7" ht="15" customHeight="1" x14ac:dyDescent="0.25">
      <c r="A7" s="2181">
        <v>13</v>
      </c>
      <c r="B7" s="2186" t="str">
        <f>'Liv-Four-client'!E12</f>
        <v>C00011</v>
      </c>
      <c r="C7" s="2186" t="str">
        <f>'Liv-Four-client'!F12</f>
        <v>client01</v>
      </c>
      <c r="D7" s="2187">
        <f>'Liv-Four-client'!E25</f>
        <v>0</v>
      </c>
      <c r="E7" s="2187">
        <f>'Liv-Four-client'!F25</f>
        <v>0</v>
      </c>
      <c r="F7" s="2188">
        <f>IF(D7&gt;E7,D7-E7,0)</f>
        <v>0</v>
      </c>
      <c r="G7" s="2188">
        <f>IF(D7&lt;E7,E7-D7,0)</f>
        <v>0</v>
      </c>
    </row>
    <row r="8" spans="1:7" ht="30.75" customHeight="1" x14ac:dyDescent="0.25">
      <c r="A8" s="2181">
        <v>14</v>
      </c>
      <c r="B8" s="2186" t="str">
        <f>'Liv-Four-client'!E29</f>
        <v>C00022</v>
      </c>
      <c r="C8" s="2186" t="str">
        <f>'Liv-Four-client'!F29</f>
        <v>client02</v>
      </c>
      <c r="D8" s="2187">
        <f>'Liv-Four-client'!E42</f>
        <v>0</v>
      </c>
      <c r="E8" s="2187">
        <f>'Liv-Four-client'!F42</f>
        <v>0</v>
      </c>
      <c r="F8" s="2188">
        <f t="shared" ref="F8:F17" si="0">IF(D8&gt;E8,D8-E8,0)</f>
        <v>0</v>
      </c>
      <c r="G8" s="2188">
        <f t="shared" ref="G8:G17" si="1">IF(D8&lt;E8,E8-D8,0)</f>
        <v>0</v>
      </c>
    </row>
    <row r="9" spans="1:7" x14ac:dyDescent="0.25">
      <c r="A9" s="2181">
        <v>15</v>
      </c>
      <c r="B9" s="2186" t="str">
        <f>'Liv-Four-client'!E45</f>
        <v>C00033</v>
      </c>
      <c r="C9" s="2186">
        <f>'Liv-Four-client'!F45</f>
        <v>0</v>
      </c>
      <c r="D9" s="2187">
        <f>'Liv-Four-client'!E57</f>
        <v>0</v>
      </c>
      <c r="E9" s="2187">
        <f>'Liv-Four-client'!F57</f>
        <v>0</v>
      </c>
      <c r="F9" s="2188">
        <f t="shared" si="0"/>
        <v>0</v>
      </c>
      <c r="G9" s="2188">
        <f t="shared" si="1"/>
        <v>0</v>
      </c>
    </row>
    <row r="10" spans="1:7" x14ac:dyDescent="0.25">
      <c r="A10" s="2189">
        <v>16</v>
      </c>
      <c r="B10" s="2186" t="str">
        <f>'Liv-Four-client'!E60</f>
        <v>C00044</v>
      </c>
      <c r="C10" s="2186">
        <f>'Liv-Four-client'!F60</f>
        <v>0</v>
      </c>
      <c r="D10" s="2187">
        <f>'Liv-Four-client'!E72</f>
        <v>0</v>
      </c>
      <c r="E10" s="2187">
        <f>'Liv-Four-client'!F72</f>
        <v>0</v>
      </c>
      <c r="F10" s="2188">
        <f t="shared" si="0"/>
        <v>0</v>
      </c>
      <c r="G10" s="2188">
        <f t="shared" si="1"/>
        <v>0</v>
      </c>
    </row>
    <row r="11" spans="1:7" x14ac:dyDescent="0.25">
      <c r="A11" s="2189">
        <v>17</v>
      </c>
      <c r="B11" s="2186" t="str">
        <f>'Liv-Four-client'!E80</f>
        <v>C00055</v>
      </c>
      <c r="C11" s="2186">
        <f>'Liv-Four-client'!F80</f>
        <v>0</v>
      </c>
      <c r="D11" s="2187">
        <f>'Liv-Four-client'!E93</f>
        <v>0</v>
      </c>
      <c r="E11" s="2187">
        <f>'Liv-Four-client'!F93</f>
        <v>0</v>
      </c>
      <c r="F11" s="2188">
        <f t="shared" si="0"/>
        <v>0</v>
      </c>
      <c r="G11" s="2188">
        <f t="shared" si="1"/>
        <v>0</v>
      </c>
    </row>
    <row r="12" spans="1:7" x14ac:dyDescent="0.25">
      <c r="A12" s="2189">
        <v>18</v>
      </c>
      <c r="B12" s="2186" t="str">
        <f>'Liv-Four-client'!E101</f>
        <v>C0006</v>
      </c>
      <c r="C12" s="2186">
        <f>'Liv-Four-client'!F101</f>
        <v>0</v>
      </c>
      <c r="D12" s="2187">
        <f>'Liv-Four-client'!E114</f>
        <v>0</v>
      </c>
      <c r="E12" s="2187">
        <f>'Liv-Four-client'!F114</f>
        <v>0</v>
      </c>
      <c r="F12" s="2188">
        <f t="shared" si="0"/>
        <v>0</v>
      </c>
      <c r="G12" s="2188">
        <f t="shared" si="1"/>
        <v>0</v>
      </c>
    </row>
    <row r="13" spans="1:7" x14ac:dyDescent="0.25">
      <c r="A13" s="2189">
        <v>19</v>
      </c>
      <c r="B13" s="2186" t="str">
        <f>'Liv-Four-client'!E119</f>
        <v>C0007</v>
      </c>
      <c r="C13" s="2187">
        <f>'Liv-Four-client'!F114</f>
        <v>0</v>
      </c>
      <c r="D13" s="2187">
        <f>'Liv-Four-client'!E132</f>
        <v>0</v>
      </c>
      <c r="E13" s="2187">
        <f>'Liv-Four-client'!F132</f>
        <v>0</v>
      </c>
      <c r="F13" s="2188">
        <f t="shared" si="0"/>
        <v>0</v>
      </c>
      <c r="G13" s="2188">
        <f t="shared" si="1"/>
        <v>0</v>
      </c>
    </row>
    <row r="14" spans="1:7" x14ac:dyDescent="0.25">
      <c r="A14" s="2189">
        <v>20</v>
      </c>
      <c r="B14" s="2186" t="str">
        <f>'Liv-Four-client'!E136</f>
        <v>C0008</v>
      </c>
      <c r="C14" s="2186">
        <f>'Liv-Four-client'!F136</f>
        <v>0</v>
      </c>
      <c r="D14" s="2187">
        <f>'Liv-Four-client'!E149</f>
        <v>0</v>
      </c>
      <c r="E14" s="2187">
        <f>'Liv-Four-client'!F149</f>
        <v>0</v>
      </c>
      <c r="F14" s="2188">
        <f t="shared" si="0"/>
        <v>0</v>
      </c>
      <c r="G14" s="2188">
        <f t="shared" si="1"/>
        <v>0</v>
      </c>
    </row>
    <row r="15" spans="1:7" x14ac:dyDescent="0.25">
      <c r="A15" s="2189">
        <v>21</v>
      </c>
      <c r="B15" s="2186" t="str">
        <f>'Liv-Four-client'!E154</f>
        <v>C0009</v>
      </c>
      <c r="C15" s="2186">
        <f>'Liv-Four-client'!F154</f>
        <v>0</v>
      </c>
      <c r="D15" s="2187">
        <f>'Liv-Four-client'!E167</f>
        <v>0</v>
      </c>
      <c r="E15" s="2187">
        <f>'Liv-Four-client'!F167</f>
        <v>0</v>
      </c>
      <c r="F15" s="2188">
        <f t="shared" si="0"/>
        <v>0</v>
      </c>
      <c r="G15" s="2188">
        <f t="shared" si="1"/>
        <v>0</v>
      </c>
    </row>
    <row r="16" spans="1:7" x14ac:dyDescent="0.25">
      <c r="A16" s="2189">
        <v>22</v>
      </c>
      <c r="B16" s="2186" t="str">
        <f>'Liv-Four-client'!E171</f>
        <v>C00010</v>
      </c>
      <c r="C16" s="2186">
        <f>'Liv-Four-client'!F171</f>
        <v>0</v>
      </c>
      <c r="D16" s="2187">
        <f>'Liv-Four-client'!E184</f>
        <v>0</v>
      </c>
      <c r="E16" s="2187">
        <f>'Liv-Four-client'!F184</f>
        <v>0</v>
      </c>
      <c r="F16" s="2188">
        <f t="shared" si="0"/>
        <v>0</v>
      </c>
      <c r="G16" s="2188">
        <f t="shared" si="1"/>
        <v>0</v>
      </c>
    </row>
    <row r="17" spans="1:7" x14ac:dyDescent="0.25">
      <c r="A17" s="2190">
        <v>23</v>
      </c>
      <c r="B17" s="2187">
        <f>'Liv-Four-client'!E184</f>
        <v>0</v>
      </c>
      <c r="C17" s="2187">
        <f>'Liv-Four-client'!F184</f>
        <v>0</v>
      </c>
      <c r="D17" s="2187">
        <f>'Liv-Four-client'!E202</f>
        <v>0</v>
      </c>
      <c r="E17" s="2187">
        <f>'Liv-Four-client'!F202</f>
        <v>0</v>
      </c>
      <c r="F17" s="2188">
        <f t="shared" si="0"/>
        <v>0</v>
      </c>
      <c r="G17" s="2188">
        <f t="shared" si="1"/>
        <v>0</v>
      </c>
    </row>
    <row r="18" spans="1:7" ht="14.4" thickBot="1" x14ac:dyDescent="0.3">
      <c r="B18" s="2191" t="s">
        <v>309</v>
      </c>
      <c r="C18" s="2192"/>
      <c r="D18" s="2193">
        <f>SUM(D7:D10)</f>
        <v>0</v>
      </c>
      <c r="E18" s="2194">
        <f>SUM(E7:E10)</f>
        <v>0</v>
      </c>
      <c r="F18" s="2195">
        <f>SUM(F7:F10)</f>
        <v>0</v>
      </c>
      <c r="G18" s="2196">
        <f>SUM(G7:G10)</f>
        <v>0</v>
      </c>
    </row>
    <row r="19" spans="1:7" x14ac:dyDescent="0.25">
      <c r="B19" s="2197"/>
      <c r="C19" s="4286"/>
      <c r="D19" s="4286"/>
      <c r="E19" s="4286"/>
      <c r="F19" s="4286"/>
      <c r="G19" s="4286"/>
    </row>
    <row r="20" spans="1:7" x14ac:dyDescent="0.25">
      <c r="B20" s="4290" t="s">
        <v>2080</v>
      </c>
      <c r="C20" s="4290"/>
      <c r="D20" s="4290"/>
      <c r="E20" s="4290"/>
      <c r="F20" s="4290"/>
      <c r="G20" s="4290"/>
    </row>
    <row r="21" spans="1:7" x14ac:dyDescent="0.25">
      <c r="B21" s="4290"/>
      <c r="C21" s="4290"/>
      <c r="D21" s="4290"/>
      <c r="E21" s="4290"/>
      <c r="F21" s="4290"/>
      <c r="G21" s="4290"/>
    </row>
    <row r="22" spans="1:7" ht="18.75" customHeight="1" x14ac:dyDescent="0.25">
      <c r="C22" s="4288"/>
      <c r="D22" s="4288"/>
      <c r="E22" s="4288"/>
      <c r="F22" s="4288"/>
      <c r="G22" s="4288"/>
    </row>
    <row r="23" spans="1:7" ht="14.25" customHeight="1" x14ac:dyDescent="0.25">
      <c r="C23" s="4273" t="s">
        <v>2082</v>
      </c>
      <c r="D23" s="4273"/>
      <c r="E23" s="4273"/>
      <c r="F23" s="4273"/>
      <c r="G23" s="4273"/>
    </row>
    <row r="24" spans="1:7" x14ac:dyDescent="0.25">
      <c r="C24" s="4273"/>
      <c r="D24" s="4273"/>
      <c r="E24" s="4273"/>
      <c r="F24" s="4273"/>
      <c r="G24" s="4273"/>
    </row>
    <row r="25" spans="1:7" ht="15.75" customHeight="1" x14ac:dyDescent="0.25">
      <c r="C25" s="2198"/>
      <c r="D25" s="2198"/>
      <c r="E25" s="2198"/>
      <c r="F25" s="2198"/>
      <c r="G25" s="2198"/>
    </row>
    <row r="26" spans="1:7" ht="15" customHeight="1" x14ac:dyDescent="0.25"/>
    <row r="27" spans="1:7" x14ac:dyDescent="0.25">
      <c r="B27" s="4280" t="s">
        <v>371</v>
      </c>
      <c r="C27" s="4281"/>
      <c r="D27" s="4281"/>
      <c r="E27" s="4281"/>
      <c r="F27" s="4281"/>
      <c r="G27" s="4282"/>
    </row>
    <row r="28" spans="1:7" x14ac:dyDescent="0.25">
      <c r="B28" s="4283"/>
      <c r="C28" s="4284"/>
      <c r="D28" s="4284"/>
      <c r="E28" s="4284"/>
      <c r="F28" s="4284"/>
      <c r="G28" s="4285"/>
    </row>
    <row r="29" spans="1:7" ht="15" customHeight="1" x14ac:dyDescent="0.25">
      <c r="B29" s="4297" t="s">
        <v>2215</v>
      </c>
      <c r="C29" s="4298"/>
      <c r="D29" s="4298"/>
      <c r="E29" s="4298"/>
      <c r="F29" s="4298"/>
      <c r="G29" s="4299"/>
    </row>
    <row r="30" spans="1:7" ht="15.75" customHeight="1" x14ac:dyDescent="0.25">
      <c r="B30" s="4300"/>
      <c r="C30" s="4301"/>
      <c r="D30" s="4301"/>
      <c r="E30" s="4301"/>
      <c r="F30" s="4301"/>
      <c r="G30" s="4302"/>
    </row>
    <row r="31" spans="1:7" ht="15.75" customHeight="1" x14ac:dyDescent="0.25">
      <c r="B31" s="2199" t="s">
        <v>370</v>
      </c>
      <c r="C31" s="2199" t="s">
        <v>370</v>
      </c>
      <c r="D31" s="2199" t="s">
        <v>2203</v>
      </c>
      <c r="E31" s="2199" t="s">
        <v>2202</v>
      </c>
      <c r="F31" s="2200" t="s">
        <v>368</v>
      </c>
      <c r="G31" s="2200" t="s">
        <v>367</v>
      </c>
    </row>
    <row r="32" spans="1:7" ht="15.75" customHeight="1" x14ac:dyDescent="0.25">
      <c r="A32" s="2181">
        <v>35</v>
      </c>
      <c r="B32" s="2186" t="str">
        <f>'Liv-Four-client'!M12</f>
        <v>F0001</v>
      </c>
      <c r="C32" s="2186" t="str">
        <f>'Liv-Four-client'!N12</f>
        <v>four01</v>
      </c>
      <c r="D32" s="2187">
        <f>'Liv-Four-client'!M25</f>
        <v>0</v>
      </c>
      <c r="E32" s="2187">
        <f>'Liv-Four-client'!N25</f>
        <v>5750</v>
      </c>
      <c r="F32" s="2201">
        <f>IF(D32&gt;E32,D32-E32,0)</f>
        <v>0</v>
      </c>
      <c r="G32" s="2188">
        <f>IF(D32&lt;E32,E32-D32,0)</f>
        <v>5750</v>
      </c>
    </row>
    <row r="33" spans="1:9" x14ac:dyDescent="0.25">
      <c r="A33" s="2181">
        <v>36</v>
      </c>
      <c r="B33" s="2186" t="str">
        <f>'Liv-Four-client'!M29</f>
        <v>F0003</v>
      </c>
      <c r="C33" s="2186" t="str">
        <f>'Liv-Four-client'!N29</f>
        <v>four03</v>
      </c>
      <c r="D33" s="2187">
        <f>'Liv-Four-client'!M42</f>
        <v>0</v>
      </c>
      <c r="E33" s="2187">
        <f>'Liv-Four-client'!N42</f>
        <v>0</v>
      </c>
      <c r="F33" s="2202">
        <f>IF(D33&gt;E33,D33-E33,0)</f>
        <v>0</v>
      </c>
      <c r="G33" s="2203">
        <f>IF(D33&lt;E33,E33-D33,0)</f>
        <v>0</v>
      </c>
    </row>
    <row r="34" spans="1:9" x14ac:dyDescent="0.25">
      <c r="A34" s="2181">
        <v>37</v>
      </c>
      <c r="B34" s="2186" t="str">
        <f>'Liv-Four-client'!M45</f>
        <v>F0004</v>
      </c>
      <c r="C34" s="2186">
        <f>'Liv-Four-client'!N45</f>
        <v>0</v>
      </c>
      <c r="D34" s="2187">
        <f>'Liv-Four-client'!M57</f>
        <v>0</v>
      </c>
      <c r="E34" s="2187">
        <f>'Liv-Four-client'!N57</f>
        <v>0</v>
      </c>
      <c r="F34" s="2202">
        <f>IF(D34&gt;E34,D34-E34,0)</f>
        <v>0</v>
      </c>
      <c r="G34" s="2203">
        <f>IF(D34&lt;E34,E34-D34,0)</f>
        <v>0</v>
      </c>
    </row>
    <row r="35" spans="1:9" x14ac:dyDescent="0.25">
      <c r="A35" s="2189">
        <v>38</v>
      </c>
      <c r="B35" s="2186">
        <f>'Liv-Four-client'!M60</f>
        <v>0</v>
      </c>
      <c r="C35" s="2186" t="str">
        <f>'Liv-Four-client'!N60</f>
        <v/>
      </c>
      <c r="D35" s="2187">
        <f>'Liv-Four-client'!M72</f>
        <v>0</v>
      </c>
      <c r="E35" s="2187">
        <f>'Liv-Four-client'!N72</f>
        <v>0</v>
      </c>
      <c r="F35" s="2202">
        <f t="shared" ref="F35:F42" si="2">IF(D35&gt;E35,D35-E35,0)</f>
        <v>0</v>
      </c>
      <c r="G35" s="2203">
        <f t="shared" ref="G35:G42" si="3">IF(D35&lt;E35,E35-D35,0)</f>
        <v>0</v>
      </c>
    </row>
    <row r="36" spans="1:9" x14ac:dyDescent="0.25">
      <c r="A36" s="2189">
        <v>39</v>
      </c>
      <c r="B36" s="2186">
        <f>'Liv-Four-client'!M80</f>
        <v>0</v>
      </c>
      <c r="C36" s="2186" t="str">
        <f>'Liv-Four-client'!N80</f>
        <v/>
      </c>
      <c r="D36" s="2187">
        <f>'Liv-Four-client'!M93</f>
        <v>0</v>
      </c>
      <c r="E36" s="2187">
        <f>'Liv-Four-client'!N93</f>
        <v>0</v>
      </c>
      <c r="F36" s="2202">
        <f t="shared" si="2"/>
        <v>0</v>
      </c>
      <c r="G36" s="2203">
        <f t="shared" si="3"/>
        <v>0</v>
      </c>
    </row>
    <row r="37" spans="1:9" x14ac:dyDescent="0.25">
      <c r="A37" s="2189">
        <v>40</v>
      </c>
      <c r="B37" s="2186">
        <f>'Liv-Four-client'!M101</f>
        <v>0</v>
      </c>
      <c r="C37" s="2186" t="str">
        <f>'Liv-Four-client'!N101</f>
        <v/>
      </c>
      <c r="D37" s="2187">
        <f>'Liv-Four-client'!M114</f>
        <v>0</v>
      </c>
      <c r="E37" s="2187">
        <f>'Liv-Four-client'!N114</f>
        <v>0</v>
      </c>
      <c r="F37" s="2202">
        <f t="shared" si="2"/>
        <v>0</v>
      </c>
      <c r="G37" s="2203">
        <f t="shared" si="3"/>
        <v>0</v>
      </c>
    </row>
    <row r="38" spans="1:9" x14ac:dyDescent="0.25">
      <c r="A38" s="2189">
        <v>41</v>
      </c>
      <c r="B38" s="2186">
        <f>'Liv-Four-client'!M119</f>
        <v>0</v>
      </c>
      <c r="C38" s="2186" t="str">
        <f>'Liv-Four-client'!N119</f>
        <v/>
      </c>
      <c r="D38" s="2187">
        <f>'Liv-Four-client'!M132</f>
        <v>0</v>
      </c>
      <c r="E38" s="2187">
        <f>'Liv-Four-client'!N132</f>
        <v>0</v>
      </c>
      <c r="F38" s="2202">
        <f t="shared" si="2"/>
        <v>0</v>
      </c>
      <c r="G38" s="2203">
        <f t="shared" si="3"/>
        <v>0</v>
      </c>
    </row>
    <row r="39" spans="1:9" x14ac:dyDescent="0.25">
      <c r="A39" s="2189">
        <v>42</v>
      </c>
      <c r="B39" s="2186">
        <f>'Liv-Four-client'!M136</f>
        <v>0</v>
      </c>
      <c r="C39" s="2186" t="str">
        <f>'Liv-Four-client'!N136</f>
        <v/>
      </c>
      <c r="D39" s="2187">
        <f>'Liv-Four-client'!M149</f>
        <v>0</v>
      </c>
      <c r="E39" s="2187">
        <f>'Liv-Four-client'!N149</f>
        <v>0</v>
      </c>
      <c r="F39" s="2202">
        <f t="shared" si="2"/>
        <v>0</v>
      </c>
      <c r="G39" s="2203">
        <f t="shared" si="3"/>
        <v>0</v>
      </c>
    </row>
    <row r="40" spans="1:9" x14ac:dyDescent="0.25">
      <c r="A40" s="2189">
        <v>43</v>
      </c>
      <c r="B40" s="2186">
        <f>'Liv-Four-client'!M154</f>
        <v>0</v>
      </c>
      <c r="C40" s="2186" t="str">
        <f>'Liv-Four-client'!N154</f>
        <v/>
      </c>
      <c r="D40" s="2187">
        <f>'Liv-Four-client'!M167</f>
        <v>0</v>
      </c>
      <c r="E40" s="2187">
        <f>'Liv-Four-client'!N167</f>
        <v>0</v>
      </c>
      <c r="F40" s="2202">
        <f t="shared" si="2"/>
        <v>0</v>
      </c>
      <c r="G40" s="2203">
        <f t="shared" si="3"/>
        <v>0</v>
      </c>
    </row>
    <row r="41" spans="1:9" x14ac:dyDescent="0.25">
      <c r="A41" s="2189">
        <v>44</v>
      </c>
      <c r="B41" s="2186">
        <f>'Liv-Four-client'!M171</f>
        <v>0</v>
      </c>
      <c r="C41" s="2186" t="str">
        <f>'Liv-Four-client'!N171</f>
        <v/>
      </c>
      <c r="D41" s="2187">
        <f>'Liv-Four-client'!M184</f>
        <v>0</v>
      </c>
      <c r="E41" s="2187">
        <f>'Liv-Four-client'!N184</f>
        <v>0</v>
      </c>
      <c r="F41" s="2202">
        <f t="shared" si="2"/>
        <v>0</v>
      </c>
      <c r="G41" s="2203">
        <f t="shared" si="3"/>
        <v>0</v>
      </c>
    </row>
    <row r="42" spans="1:9" ht="14.4" thickBot="1" x14ac:dyDescent="0.3">
      <c r="A42" s="2189"/>
      <c r="B42" s="2204">
        <f>'Liv-Four-client'!M189</f>
        <v>0</v>
      </c>
      <c r="C42" s="2204" t="str">
        <f>'Liv-Four-client'!N189</f>
        <v/>
      </c>
      <c r="D42" s="2205">
        <f>'Liv-Four-client'!M202</f>
        <v>0</v>
      </c>
      <c r="E42" s="2205">
        <f>'Liv-Four-client'!N202</f>
        <v>0</v>
      </c>
      <c r="F42" s="2206">
        <f t="shared" si="2"/>
        <v>0</v>
      </c>
      <c r="G42" s="2207">
        <f t="shared" si="3"/>
        <v>0</v>
      </c>
    </row>
    <row r="43" spans="1:9" x14ac:dyDescent="0.25">
      <c r="A43" s="2189"/>
      <c r="B43" s="2208"/>
      <c r="C43" s="2208"/>
      <c r="D43" s="2209"/>
      <c r="E43" s="2210"/>
      <c r="F43" s="2202"/>
      <c r="G43" s="2203"/>
    </row>
    <row r="44" spans="1:9" x14ac:dyDescent="0.25">
      <c r="B44" s="2211"/>
      <c r="C44" s="2212">
        <f>SUM(C32:C41)</f>
        <v>0</v>
      </c>
      <c r="D44" s="2203">
        <f>SUM(D32:D41)</f>
        <v>0</v>
      </c>
      <c r="E44" s="2203">
        <f>SUM(E32:E41)</f>
        <v>5750</v>
      </c>
      <c r="F44" s="2203">
        <f>SUM(F32:F41)</f>
        <v>0</v>
      </c>
      <c r="G44" s="2213">
        <f>SUM(G32:G41)</f>
        <v>5750</v>
      </c>
    </row>
    <row r="45" spans="1:9" x14ac:dyDescent="0.25">
      <c r="B45" s="2214"/>
      <c r="C45" s="2214"/>
      <c r="D45" s="4287"/>
      <c r="E45" s="4287"/>
      <c r="F45" s="4287"/>
      <c r="G45" s="4287"/>
    </row>
    <row r="46" spans="1:9" ht="17.399999999999999" x14ac:dyDescent="0.25">
      <c r="A46" s="2215"/>
      <c r="B46" s="4289" t="s">
        <v>2083</v>
      </c>
      <c r="C46" s="4289"/>
      <c r="D46" s="4289"/>
      <c r="E46" s="4289"/>
      <c r="F46" s="4289"/>
      <c r="G46" s="4289"/>
      <c r="H46" s="4289"/>
    </row>
    <row r="47" spans="1:9" ht="17.399999999999999" x14ac:dyDescent="0.25">
      <c r="A47" s="2215"/>
      <c r="B47" s="2215"/>
      <c r="C47" s="2216"/>
      <c r="D47" s="4270" t="s">
        <v>2081</v>
      </c>
      <c r="E47" s="4271"/>
      <c r="F47" s="4272"/>
      <c r="G47" s="2215"/>
      <c r="H47" s="2215"/>
    </row>
    <row r="48" spans="1:9" ht="24.75" customHeight="1" x14ac:dyDescent="0.25">
      <c r="A48" s="2215"/>
      <c r="B48" s="2215"/>
      <c r="C48" s="2216"/>
      <c r="D48" s="2216"/>
      <c r="E48" s="2216"/>
      <c r="F48" s="2216"/>
      <c r="G48" s="2215"/>
      <c r="H48" s="2215"/>
      <c r="I48" s="2215"/>
    </row>
    <row r="49" spans="1:9" ht="21" customHeight="1" x14ac:dyDescent="0.25">
      <c r="A49" s="2215"/>
      <c r="B49" s="2217"/>
      <c r="C49" s="2218"/>
      <c r="G49" s="2217"/>
      <c r="H49" s="2215"/>
      <c r="I49" s="2215"/>
    </row>
    <row r="50" spans="1:9" ht="11.25" hidden="1" customHeight="1" thickBot="1" x14ac:dyDescent="0.3">
      <c r="A50" s="2215"/>
      <c r="B50" s="2217"/>
      <c r="C50" s="2218"/>
      <c r="D50" s="2218"/>
      <c r="E50" s="2218"/>
      <c r="F50" s="2219"/>
      <c r="G50" s="2217"/>
      <c r="H50" s="2215"/>
      <c r="I50" s="2215"/>
    </row>
    <row r="51" spans="1:9" ht="22.5" customHeight="1" x14ac:dyDescent="0.25">
      <c r="A51" s="2215"/>
      <c r="B51" s="2220"/>
      <c r="C51" s="2215"/>
      <c r="D51" s="2215"/>
      <c r="E51" s="2221"/>
      <c r="F51" s="2222"/>
      <c r="G51" s="2222"/>
      <c r="H51" s="2215"/>
      <c r="I51" s="2215"/>
    </row>
    <row r="52" spans="1:9" ht="28.5" customHeight="1" x14ac:dyDescent="0.25">
      <c r="A52" s="2215"/>
      <c r="B52" s="2220"/>
      <c r="C52" s="2215"/>
      <c r="D52" s="2215"/>
      <c r="E52" s="2221"/>
      <c r="F52" s="2222"/>
      <c r="G52" s="2222"/>
      <c r="H52" s="2215"/>
      <c r="I52" s="2215"/>
    </row>
    <row r="53" spans="1:9" x14ac:dyDescent="0.25">
      <c r="A53" s="2215"/>
      <c r="B53" s="2220"/>
      <c r="C53" s="2215"/>
      <c r="D53" s="2221"/>
      <c r="E53" s="2215"/>
      <c r="F53" s="2222"/>
      <c r="G53" s="2222"/>
      <c r="H53" s="2215"/>
      <c r="I53" s="2215"/>
    </row>
    <row r="54" spans="1:9" x14ac:dyDescent="0.25">
      <c r="A54" s="2215"/>
      <c r="B54" s="2220"/>
      <c r="C54" s="2215"/>
      <c r="D54" s="2221"/>
      <c r="E54" s="2215"/>
      <c r="F54" s="2222"/>
      <c r="G54" s="2222"/>
      <c r="H54" s="2215"/>
      <c r="I54" s="2215"/>
    </row>
    <row r="55" spans="1:9" x14ac:dyDescent="0.25">
      <c r="A55" s="2215"/>
      <c r="B55" s="2215"/>
      <c r="C55" s="2215"/>
      <c r="D55" s="2221"/>
      <c r="E55" s="2222"/>
      <c r="F55" s="2222"/>
      <c r="G55" s="2222"/>
      <c r="H55" s="2215"/>
      <c r="I55" s="2215"/>
    </row>
    <row r="56" spans="1:9" x14ac:dyDescent="0.25">
      <c r="A56" s="2215"/>
      <c r="B56" s="2215"/>
      <c r="C56" s="2215"/>
      <c r="D56" s="2223"/>
      <c r="E56" s="2223"/>
      <c r="F56" s="2223"/>
      <c r="G56" s="2223"/>
      <c r="H56" s="2215"/>
      <c r="I56" s="2215"/>
    </row>
    <row r="57" spans="1:9" x14ac:dyDescent="0.25">
      <c r="A57" s="2215"/>
      <c r="B57" s="2215"/>
      <c r="C57" s="2215"/>
      <c r="D57" s="2215"/>
      <c r="E57" s="2215"/>
      <c r="F57" s="2215"/>
      <c r="G57" s="2215"/>
      <c r="H57" s="2215"/>
      <c r="I57" s="2215"/>
    </row>
    <row r="58" spans="1:9" x14ac:dyDescent="0.25">
      <c r="A58" s="2215"/>
      <c r="B58" s="2215"/>
      <c r="C58" s="2215"/>
      <c r="D58" s="2215"/>
      <c r="E58" s="2215"/>
      <c r="F58" s="2215"/>
      <c r="G58" s="2215"/>
      <c r="H58" s="2215"/>
      <c r="I58" s="2215"/>
    </row>
    <row r="59" spans="1:9" x14ac:dyDescent="0.25">
      <c r="I59" s="2215"/>
    </row>
    <row r="60" spans="1:9" x14ac:dyDescent="0.25">
      <c r="I60" s="2215"/>
    </row>
  </sheetData>
  <mergeCells count="13">
    <mergeCell ref="D47:F47"/>
    <mergeCell ref="C23:G24"/>
    <mergeCell ref="B2:G3"/>
    <mergeCell ref="B27:G28"/>
    <mergeCell ref="F19:G19"/>
    <mergeCell ref="D45:E45"/>
    <mergeCell ref="F45:G45"/>
    <mergeCell ref="C19:E19"/>
    <mergeCell ref="C22:G22"/>
    <mergeCell ref="B46:H46"/>
    <mergeCell ref="B20:G21"/>
    <mergeCell ref="B4:G5"/>
    <mergeCell ref="B29:G30"/>
  </mergeCells>
  <pageMargins left="0.25" right="0.25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O239"/>
  <sheetViews>
    <sheetView zoomScale="85" zoomScaleNormal="85" workbookViewId="0">
      <selection activeCell="M56" sqref="M56"/>
    </sheetView>
  </sheetViews>
  <sheetFormatPr baseColWidth="10" defaultColWidth="11.44140625" defaultRowHeight="15.6" x14ac:dyDescent="0.3"/>
  <cols>
    <col min="1" max="1" width="5.44140625" style="1948" customWidth="1"/>
    <col min="2" max="2" width="8" style="1949" customWidth="1"/>
    <col min="3" max="3" width="11.6640625" style="1949" customWidth="1"/>
    <col min="4" max="4" width="8.88671875" style="1949" customWidth="1"/>
    <col min="5" max="5" width="11.6640625" style="1949" customWidth="1"/>
    <col min="6" max="6" width="16" style="1949" customWidth="1"/>
    <col min="7" max="7" width="12" style="1949" customWidth="1"/>
    <col min="8" max="8" width="14.5546875" style="1949" customWidth="1"/>
    <col min="9" max="9" width="14.88671875" style="1949" customWidth="1"/>
    <col min="10" max="10" width="4" style="1949" customWidth="1"/>
    <col min="11" max="11" width="11.44140625" style="1949"/>
    <col min="12" max="12" width="11.88671875" style="1949" customWidth="1"/>
    <col min="13" max="15" width="11.44140625" style="1949"/>
    <col min="16" max="16" width="11.44140625" style="1949" customWidth="1"/>
    <col min="17" max="16384" width="11.44140625" style="1949"/>
  </cols>
  <sheetData>
    <row r="1" spans="1:12" ht="17.399999999999999" x14ac:dyDescent="0.3">
      <c r="B1" s="4309" t="s">
        <v>1806</v>
      </c>
      <c r="C1" s="4309"/>
      <c r="D1" s="4309"/>
      <c r="E1" s="4309"/>
      <c r="F1" s="4309"/>
      <c r="G1" s="4309"/>
      <c r="H1" s="4309"/>
    </row>
    <row r="2" spans="1:12" ht="17.399999999999999" x14ac:dyDescent="0.3">
      <c r="B2" s="4310" t="s">
        <v>1828</v>
      </c>
      <c r="C2" s="4309"/>
      <c r="D2" s="4309"/>
      <c r="E2" s="4309"/>
      <c r="F2" s="4309"/>
      <c r="G2" s="4309"/>
      <c r="H2" s="4309"/>
    </row>
    <row r="3" spans="1:12" x14ac:dyDescent="0.3">
      <c r="B3" s="4314"/>
      <c r="C3" s="4314"/>
      <c r="D3" s="4314"/>
      <c r="E3" s="4314"/>
      <c r="F3" s="4314"/>
      <c r="G3" s="4314"/>
      <c r="H3" s="1951" t="s">
        <v>1827</v>
      </c>
      <c r="I3" s="1952"/>
    </row>
    <row r="4" spans="1:12" x14ac:dyDescent="0.3">
      <c r="H4" s="1950" t="s">
        <v>1826</v>
      </c>
    </row>
    <row r="5" spans="1:12" ht="20.399999999999999" x14ac:dyDescent="0.35">
      <c r="B5" s="4312" t="s">
        <v>1807</v>
      </c>
      <c r="C5" s="4313"/>
      <c r="D5" s="4313"/>
      <c r="E5" s="4313"/>
      <c r="F5" s="4313"/>
      <c r="G5" s="4313"/>
      <c r="H5" s="1951" t="s">
        <v>2</v>
      </c>
      <c r="I5" s="1950" t="s">
        <v>1825</v>
      </c>
    </row>
    <row r="6" spans="1:12" x14ac:dyDescent="0.3">
      <c r="B6" s="1953"/>
      <c r="C6" s="1953"/>
      <c r="D6" s="1953"/>
      <c r="E6" s="1953"/>
      <c r="F6" s="1953"/>
      <c r="G6" s="1953"/>
      <c r="H6" s="1950" t="s">
        <v>31</v>
      </c>
      <c r="I6" s="1954" t="s">
        <v>3</v>
      </c>
    </row>
    <row r="7" spans="1:12" ht="17.399999999999999" x14ac:dyDescent="0.3">
      <c r="B7" s="4304" t="s">
        <v>1824</v>
      </c>
      <c r="C7" s="4305"/>
      <c r="D7" s="4305"/>
      <c r="E7" s="4305"/>
      <c r="F7" s="4305" t="s">
        <v>199</v>
      </c>
      <c r="G7" s="4311"/>
      <c r="H7" s="4303" t="s">
        <v>213</v>
      </c>
      <c r="I7" s="4303"/>
    </row>
    <row r="8" spans="1:12" ht="42" thickBot="1" x14ac:dyDescent="0.35">
      <c r="B8" s="1956" t="s">
        <v>1353</v>
      </c>
      <c r="C8" s="1957" t="s">
        <v>1352</v>
      </c>
      <c r="D8" s="1956" t="s">
        <v>1351</v>
      </c>
      <c r="E8" s="4306" t="s">
        <v>2085</v>
      </c>
      <c r="F8" s="4307"/>
      <c r="G8" s="4308"/>
      <c r="H8" s="1958" t="s">
        <v>1350</v>
      </c>
      <c r="I8" s="1958" t="s">
        <v>1349</v>
      </c>
      <c r="J8" s="1953"/>
      <c r="K8" s="1953"/>
    </row>
    <row r="9" spans="1:12" ht="26.25" customHeight="1" thickBot="1" x14ac:dyDescent="0.35">
      <c r="A9" s="1948">
        <v>35</v>
      </c>
      <c r="B9" s="1962"/>
      <c r="C9" s="1963">
        <f>IF('Val-Dép'!I35="NUL","0",'Val-Dép'!E35)</f>
        <v>24000</v>
      </c>
      <c r="D9" s="1964"/>
      <c r="E9" s="1965" t="s">
        <v>1348</v>
      </c>
      <c r="F9" s="1966" t="str">
        <f>IF('Val-Dép'!I35="0","0",'Val-Dép'!I35)</f>
        <v>Mobilier</v>
      </c>
      <c r="G9" s="1967"/>
      <c r="H9" s="1968">
        <f>IF(OR('Val-Dép'!I35="", 'Val-Dép'!I35="note de crédit" ),"0",'Val-Dép'!S35)</f>
        <v>750</v>
      </c>
      <c r="I9" s="1969"/>
      <c r="J9" s="1955"/>
      <c r="K9" s="1955"/>
    </row>
    <row r="10" spans="1:12" ht="26.4" customHeight="1" thickBot="1" x14ac:dyDescent="0.35">
      <c r="B10" s="1970"/>
      <c r="C10" s="1971">
        <v>4110</v>
      </c>
      <c r="D10" s="1971"/>
      <c r="E10" s="1972" t="s">
        <v>1810</v>
      </c>
      <c r="F10" s="1973" t="s">
        <v>1811</v>
      </c>
      <c r="G10" s="1973"/>
      <c r="H10" s="1968">
        <f>IF(OR('Val-Dép'!I35="",  'Val-Dép'!I35="prest.serv.", 'Val-Dép'!I35="Intracomm.",  'Val-Dép'!I35="note de crédit" ),"0",VLOOKUP('Val-Dép'!I35,'Val-Dép'!I35:AD35,18,FALSE))</f>
        <v>0</v>
      </c>
      <c r="I10" s="1969"/>
      <c r="J10" s="1959"/>
      <c r="K10" s="1960"/>
      <c r="L10" s="1961"/>
    </row>
    <row r="11" spans="1:12" x14ac:dyDescent="0.3">
      <c r="B11" s="1970"/>
      <c r="C11" s="1971"/>
      <c r="D11" s="1971">
        <v>440</v>
      </c>
      <c r="E11" s="1972" t="s">
        <v>1347</v>
      </c>
      <c r="F11" s="1974" t="str">
        <f>IF(('Val-Dép'!$B$35=""),"",VLOOKUP('Val-Dép'!$B$35,'Val-Dép'!B35:D35,2,FALSE))</f>
        <v>four01</v>
      </c>
      <c r="G11" s="1974"/>
      <c r="H11" s="1975"/>
      <c r="I11" s="1968">
        <f>IF(OR('Val-Dép'!I35="", 'Val-Dép'!I35="note de crédit" ),"0",'Val-Dép'!AB35)</f>
        <v>750</v>
      </c>
      <c r="J11" s="1953">
        <v>35</v>
      </c>
    </row>
    <row r="12" spans="1:12" ht="16.2" thickBot="1" x14ac:dyDescent="0.35">
      <c r="B12" s="1976" t="str">
        <f>'[4]Val-Départ'!B26</f>
        <v>F0074</v>
      </c>
      <c r="C12" s="1977"/>
      <c r="D12" s="1977"/>
      <c r="E12" s="1978" t="s">
        <v>1346</v>
      </c>
      <c r="F12" s="1979" t="str">
        <f>IF(('Val-Dép'!B35=""),"",VLOOKUP('Val-Dép'!B35,'Val-Dép'!B35:O35,2,FALSE))</f>
        <v>four01</v>
      </c>
      <c r="G12" s="1979" t="s">
        <v>1786</v>
      </c>
      <c r="H12" s="1980"/>
      <c r="I12" s="1981"/>
      <c r="J12" s="1953">
        <v>36</v>
      </c>
    </row>
    <row r="13" spans="1:12" ht="16.2" thickBot="1" x14ac:dyDescent="0.35">
      <c r="A13" s="1948">
        <v>36</v>
      </c>
      <c r="B13" s="1982"/>
      <c r="C13" s="1963">
        <f>IF('Val-Dép'!I36="NUL","0",'Val-Dép'!E36)</f>
        <v>36000</v>
      </c>
      <c r="D13" s="1983"/>
      <c r="E13" s="1984" t="s">
        <v>1348</v>
      </c>
      <c r="F13" s="1966" t="str">
        <f>IF('Val-Dép'!I36="0","0",'Val-Dép'!I36)</f>
        <v>Stocks</v>
      </c>
      <c r="G13" s="1967"/>
      <c r="H13" s="1968">
        <f>IF(OR('Val-Dép'!I36="", 'Val-Dép'!I36="note de crédit" ),"0",'Val-Dép'!S36)</f>
        <v>5000</v>
      </c>
      <c r="I13" s="1985"/>
      <c r="J13" s="1953">
        <v>37</v>
      </c>
    </row>
    <row r="14" spans="1:12" ht="16.2" thickBot="1" x14ac:dyDescent="0.35">
      <c r="B14" s="1986"/>
      <c r="C14" s="1971">
        <v>4110</v>
      </c>
      <c r="D14" s="1971"/>
      <c r="E14" s="1972" t="s">
        <v>1810</v>
      </c>
      <c r="F14" s="1973" t="s">
        <v>1811</v>
      </c>
      <c r="G14" s="1973"/>
      <c r="H14" s="1968">
        <f>IF(OR('Val-Dép'!I36="",  'Val-Dép'!I36="prest.serv.", 'Val-Dép'!I36="Intracomm.",  'Val-Dép'!I36="note de crédit" ),"0",VLOOKUP('Val-Dép'!I36,'Val-Dép'!I36:AD36,18,FALSE))</f>
        <v>0</v>
      </c>
      <c r="I14" s="1969"/>
      <c r="J14" s="1961">
        <v>38</v>
      </c>
    </row>
    <row r="15" spans="1:12" x14ac:dyDescent="0.3">
      <c r="B15" s="1986"/>
      <c r="C15" s="1971"/>
      <c r="D15" s="1971"/>
      <c r="E15" s="1972" t="s">
        <v>1347</v>
      </c>
      <c r="F15" s="1979" t="str">
        <f>IF(('Val-Dép'!$B$36=""),"",VLOOKUP('Val-Dép'!$B$36,'Val-Dép'!B36:D36,2,FALSE))</f>
        <v>four02</v>
      </c>
      <c r="G15" s="1974"/>
      <c r="H15" s="1975"/>
      <c r="I15" s="1968">
        <f>IF(OR('Val-Dép'!I36="", 'Val-Dép'!I36="note de crédit" ),"0",'Val-Dép'!AB36)</f>
        <v>5000</v>
      </c>
      <c r="J15" s="1961">
        <v>39</v>
      </c>
    </row>
    <row r="16" spans="1:12" ht="16.2" thickBot="1" x14ac:dyDescent="0.35">
      <c r="B16" s="1976" t="str">
        <f>'[4]Val-Départ'!B27</f>
        <v>F0030</v>
      </c>
      <c r="C16" s="1987"/>
      <c r="D16" s="1987"/>
      <c r="E16" s="1988" t="s">
        <v>1346</v>
      </c>
      <c r="F16" s="1989" t="str">
        <f>IF(('Val-Dép'!$B$36=""),"",VLOOKUP('Val-Dép'!$B$36,'Val-Dép'!B36:D36,2,FALSE))</f>
        <v>four02</v>
      </c>
      <c r="G16" s="1989" t="s">
        <v>1823</v>
      </c>
      <c r="H16" s="1990"/>
      <c r="I16" s="1991"/>
      <c r="J16" s="1961">
        <v>40</v>
      </c>
    </row>
    <row r="17" spans="1:12" ht="16.2" thickBot="1" x14ac:dyDescent="0.35">
      <c r="A17" s="1948">
        <v>37</v>
      </c>
      <c r="B17" s="1992"/>
      <c r="C17" s="1963">
        <f>IF('Val-Dép'!I37="NUL","0",'Val-Dép'!E37)</f>
        <v>24000</v>
      </c>
      <c r="D17" s="1993"/>
      <c r="E17" s="1984" t="s">
        <v>1348</v>
      </c>
      <c r="F17" s="1963">
        <f>IF('Val-Dép'!I37="NUL","NUL",'Val-Dép'!I37)</f>
        <v>0</v>
      </c>
      <c r="G17" s="1967"/>
      <c r="H17" s="1968" t="str">
        <f>IF(OR('Val-Dép'!I37="", 'Val-Dép'!I37="note de crédit" ),"0",'Val-Dép'!S37)</f>
        <v>0</v>
      </c>
      <c r="I17" s="1994"/>
      <c r="J17" s="1961">
        <v>41</v>
      </c>
    </row>
    <row r="18" spans="1:12" ht="16.2" thickBot="1" x14ac:dyDescent="0.35">
      <c r="B18" s="1970"/>
      <c r="C18" s="1971">
        <v>4110</v>
      </c>
      <c r="D18" s="1971"/>
      <c r="E18" s="1972" t="s">
        <v>1810</v>
      </c>
      <c r="F18" s="1973" t="s">
        <v>1822</v>
      </c>
      <c r="G18" s="1973"/>
      <c r="H18" s="1968" t="str">
        <f>IF(OR('Val-Dép'!I37="",  'Val-Dép'!I37="prest.serv.", 'Val-Dép'!I37="Intracomm.",  'Val-Dép'!I37="note de crédit" ),"0",VLOOKUP('Val-Dép'!I37,'Val-Dép'!I37:AD37,18,FALSE))</f>
        <v>0</v>
      </c>
      <c r="I18" s="1969"/>
      <c r="J18" s="1961">
        <v>42</v>
      </c>
    </row>
    <row r="19" spans="1:12" x14ac:dyDescent="0.3">
      <c r="B19" s="1970"/>
      <c r="C19" s="1971"/>
      <c r="D19" s="1971">
        <v>440</v>
      </c>
      <c r="E19" s="1972" t="s">
        <v>1347</v>
      </c>
      <c r="F19" s="1979" t="str">
        <f>IF(('Val-Dép'!$B$37=""),"",VLOOKUP('Val-Dép'!$B$37,'Val-Dép'!B37:D37,2,FALSE))</f>
        <v>four03</v>
      </c>
      <c r="G19" s="1974"/>
      <c r="H19" s="1975"/>
      <c r="I19" s="1968" t="str">
        <f>IF(OR('Val-Dép'!I37="", 'Val-Dép'!I37="note de crédit" ),"0",'Val-Dép'!AB37)</f>
        <v>0</v>
      </c>
      <c r="J19" s="1961">
        <v>43</v>
      </c>
      <c r="K19" s="1979" t="str">
        <f>IF(('Val-Dép'!B43=""),"",VLOOKUP('Val-Dép'!B43,'Val-Dép'!B43:O43,2,FALSE))</f>
        <v/>
      </c>
      <c r="L19" s="1963"/>
    </row>
    <row r="20" spans="1:12" ht="16.2" thickBot="1" x14ac:dyDescent="0.35">
      <c r="B20" s="1976" t="str">
        <f>'[4]Val-Départ'!B28</f>
        <v>F0012</v>
      </c>
      <c r="C20" s="1997"/>
      <c r="D20" s="1997"/>
      <c r="E20" s="1998" t="s">
        <v>1346</v>
      </c>
      <c r="F20" s="1989" t="str">
        <f>IF(('Val-Dép'!$B$37=""),"",VLOOKUP('Val-Dép'!$B$37,'Val-Dép'!B37:D37,2,FALSE))</f>
        <v>four03</v>
      </c>
      <c r="G20" s="1999"/>
      <c r="H20" s="2000"/>
      <c r="I20" s="2001"/>
      <c r="J20" s="1961"/>
      <c r="K20" s="1967"/>
      <c r="L20" s="1995"/>
    </row>
    <row r="21" spans="1:12" ht="16.8" thickTop="1" thickBot="1" x14ac:dyDescent="0.35">
      <c r="A21" s="1948">
        <v>38</v>
      </c>
      <c r="B21" s="1982"/>
      <c r="C21" s="1963">
        <f>IF('Val-Dép'!I38="NUL","0",'Val-Dép'!E38)</f>
        <v>24000</v>
      </c>
      <c r="D21" s="1993"/>
      <c r="E21" s="2002" t="s">
        <v>1348</v>
      </c>
      <c r="F21" s="1963">
        <f>IF('Val-Dép'!I38="NUL","NUL",'Val-Dép'!I38)</f>
        <v>0</v>
      </c>
      <c r="G21" s="1967"/>
      <c r="H21" s="1968" t="str">
        <f>IF(OR('Val-Dép'!I38="", 'Val-Dép'!I38="note de crédit" ),"0",'Val-Dép'!S38)</f>
        <v>0</v>
      </c>
      <c r="I21" s="1994"/>
      <c r="J21" s="1961"/>
      <c r="K21" s="1996"/>
      <c r="L21" s="1961"/>
    </row>
    <row r="22" spans="1:12" ht="16.2" thickBot="1" x14ac:dyDescent="0.35">
      <c r="B22" s="1986"/>
      <c r="C22" s="1971">
        <v>4110</v>
      </c>
      <c r="D22" s="1971"/>
      <c r="E22" s="2002" t="s">
        <v>1810</v>
      </c>
      <c r="F22" s="2003"/>
      <c r="G22" s="2003"/>
      <c r="H22" s="1968" t="str">
        <f>IF(OR('Val-Dép'!I38="",  'Val-Dép'!I38="prest.serv.", 'Val-Dép'!I38="Intracomm.",  'Val-Dép'!I38="note de crédit" ),"0",VLOOKUP('Val-Dép'!I38,'Val-Dép'!I38:AD38,18,FALSE))</f>
        <v>0</v>
      </c>
      <c r="I22" s="1969"/>
      <c r="J22" s="1953"/>
      <c r="K22" s="1953"/>
    </row>
    <row r="23" spans="1:12" x14ac:dyDescent="0.3">
      <c r="B23" s="1986"/>
      <c r="C23" s="1971"/>
      <c r="D23" s="1971"/>
      <c r="E23" s="2002" t="s">
        <v>1347</v>
      </c>
      <c r="F23" s="1979">
        <f>IF(('Val-Dép'!$B$38=""),"",VLOOKUP('Val-Dép'!$B$38,'Val-Dép'!B38:D38,2,FALSE))</f>
        <v>0</v>
      </c>
      <c r="G23" s="1974"/>
      <c r="H23" s="1975"/>
      <c r="I23" s="1968" t="str">
        <f>IF(OR('Val-Dép'!I38="", 'Val-Dép'!I38="note de crédit" ),"0",'Val-Dép'!AB38)</f>
        <v>0</v>
      </c>
      <c r="J23" s="1953"/>
      <c r="K23" s="1953"/>
    </row>
    <row r="24" spans="1:12" ht="16.2" thickBot="1" x14ac:dyDescent="0.35">
      <c r="B24" s="2004"/>
      <c r="C24" s="1987"/>
      <c r="D24" s="1987"/>
      <c r="E24" s="2005" t="s">
        <v>1346</v>
      </c>
      <c r="F24" s="1974">
        <f>IF(('Val-Dép'!$B$38=""),"",VLOOKUP('Val-Dép'!$B$38,'Val-Dép'!B38:D38,2,FALSE))</f>
        <v>0</v>
      </c>
      <c r="G24" s="1974"/>
      <c r="H24" s="1990"/>
      <c r="I24" s="1991"/>
      <c r="J24" s="1953"/>
      <c r="K24" s="1953"/>
    </row>
    <row r="25" spans="1:12" ht="16.2" thickBot="1" x14ac:dyDescent="0.35">
      <c r="A25" s="1948">
        <v>39</v>
      </c>
      <c r="B25" s="1992"/>
      <c r="C25" s="1963">
        <f>IF('Val-Dép'!I39="NUL","0",'Val-Dép'!E39)</f>
        <v>17001</v>
      </c>
      <c r="D25" s="1993"/>
      <c r="E25" s="2006" t="s">
        <v>1348</v>
      </c>
      <c r="F25" s="1963">
        <f>IF('Val-Dép'!I39="NUL","NUL",'Val-Dép'!I39)</f>
        <v>0</v>
      </c>
      <c r="G25" s="1967"/>
      <c r="H25" s="1968" t="str">
        <f>IF(OR('Val-Dép'!I39="", 'Val-Dép'!I39="note de crédit" ),"0",'Val-Dép'!S39)</f>
        <v>0</v>
      </c>
      <c r="I25" s="1994"/>
      <c r="J25" s="1953"/>
      <c r="K25" s="1953"/>
    </row>
    <row r="26" spans="1:12" ht="16.2" thickBot="1" x14ac:dyDescent="0.35">
      <c r="B26" s="1970"/>
      <c r="C26" s="1971">
        <v>4110</v>
      </c>
      <c r="D26" s="1971"/>
      <c r="E26" s="2008" t="s">
        <v>1810</v>
      </c>
      <c r="F26" s="2009" t="s">
        <v>1822</v>
      </c>
      <c r="G26" s="2010"/>
      <c r="H26" s="1968" t="str">
        <f>IF(OR('Val-Dép'!I39="",  'Val-Dép'!I39="prest.serv.", 'Val-Dép'!I39="Intracomm.",  'Val-Dép'!I39="note de crédit" ),"0",VLOOKUP('Val-Dép'!I39,'Val-Dép'!I39:AD39,18,FALSE))</f>
        <v>0</v>
      </c>
      <c r="I26" s="1969"/>
      <c r="J26" s="1953"/>
      <c r="K26" s="1953"/>
    </row>
    <row r="27" spans="1:12" x14ac:dyDescent="0.3">
      <c r="B27" s="1970"/>
      <c r="C27" s="1971"/>
      <c r="D27" s="1971"/>
      <c r="E27" s="2008" t="s">
        <v>1347</v>
      </c>
      <c r="F27" s="1979" t="str">
        <f>IF(('Val-Dép'!$B$39=""),"",VLOOKUP('Val-Dép'!$B$39,'Val-Dép'!B39:D39,2,FALSE))</f>
        <v/>
      </c>
      <c r="G27" s="1974"/>
      <c r="H27" s="1975"/>
      <c r="I27" s="1968" t="str">
        <f>IF(OR('Val-Dép'!I39="", 'Val-Dép'!I39="note de crédit" ),"0",'Val-Dép'!AB39)</f>
        <v>0</v>
      </c>
      <c r="J27" s="1953"/>
      <c r="K27" s="2007"/>
    </row>
    <row r="28" spans="1:12" ht="16.2" thickBot="1" x14ac:dyDescent="0.35">
      <c r="B28" s="1976">
        <f>'[4]Val-Départ'!B30</f>
        <v>0</v>
      </c>
      <c r="C28" s="1977"/>
      <c r="D28" s="1977"/>
      <c r="E28" s="2011" t="s">
        <v>1346</v>
      </c>
      <c r="F28" s="1989" t="str">
        <f>IF(('Val-Dép'!$B$39=""),"",VLOOKUP('Val-Dép'!$B$39,'Val-Dép'!B39:D39,2,FALSE))</f>
        <v/>
      </c>
      <c r="G28" s="1974"/>
      <c r="H28" s="1980"/>
      <c r="I28" s="1981"/>
      <c r="J28" s="1953"/>
      <c r="K28" s="1953"/>
    </row>
    <row r="29" spans="1:12" ht="16.2" thickBot="1" x14ac:dyDescent="0.35">
      <c r="A29" s="1948">
        <v>40</v>
      </c>
      <c r="B29" s="1982"/>
      <c r="C29" s="1963">
        <f>IF('Val-Dép'!I40="NUL","0",'Val-Dép'!E40)</f>
        <v>17002</v>
      </c>
      <c r="D29" s="1983"/>
      <c r="E29" s="2012" t="s">
        <v>1348</v>
      </c>
      <c r="F29" s="1963">
        <f>IF('Val-Dép'!I40="NUL","NUL",'Val-Dép'!I40)</f>
        <v>0</v>
      </c>
      <c r="G29" s="1967"/>
      <c r="H29" s="1968" t="str">
        <f>IF(OR('Val-Dép'!I40="", 'Val-Dép'!I40="note de crédit" ),"0",'Val-Dép'!S40)</f>
        <v>0</v>
      </c>
      <c r="I29" s="1985"/>
      <c r="J29" s="1953"/>
      <c r="K29" s="1953"/>
    </row>
    <row r="30" spans="1:12" ht="16.2" thickBot="1" x14ac:dyDescent="0.35">
      <c r="B30" s="1986"/>
      <c r="C30" s="1971">
        <v>4110</v>
      </c>
      <c r="D30" s="1971"/>
      <c r="E30" s="1970" t="s">
        <v>1810</v>
      </c>
      <c r="F30" s="2013"/>
      <c r="G30" s="2014"/>
      <c r="H30" s="1968" t="str">
        <f>IF(OR('Val-Dép'!I40="",  'Val-Dép'!I40="prest.serv.", 'Val-Dép'!I40="Intracomm.",  'Val-Dép'!I40="note de crédit" ),"0",VLOOKUP('Val-Dép'!I40,'Val-Dép'!I40:AD40,18,FALSE))</f>
        <v>0</v>
      </c>
      <c r="I30" s="1969"/>
      <c r="J30" s="1953"/>
      <c r="K30" s="1953"/>
    </row>
    <row r="31" spans="1:12" x14ac:dyDescent="0.3">
      <c r="B31" s="1986"/>
      <c r="C31" s="1971"/>
      <c r="D31" s="1971"/>
      <c r="E31" s="1970" t="s">
        <v>1347</v>
      </c>
      <c r="F31" s="1979" t="str">
        <f>IF(('Val-Dép'!$B$40=""),"",VLOOKUP('Val-Dép'!$B$40,'Val-Dép'!B40:D40,2,FALSE))</f>
        <v/>
      </c>
      <c r="G31" s="1974"/>
      <c r="H31" s="1975"/>
      <c r="I31" s="1968" t="str">
        <f>IF(OR('Val-Dép'!I40="", 'Val-Dép'!I40="note de crédit" ),"0",'Val-Dép'!AB40)</f>
        <v>0</v>
      </c>
      <c r="J31" s="1953"/>
      <c r="K31" s="1953"/>
    </row>
    <row r="32" spans="1:12" ht="16.2" thickBot="1" x14ac:dyDescent="0.35">
      <c r="B32" s="2004"/>
      <c r="C32" s="1987"/>
      <c r="D32" s="1987"/>
      <c r="E32" s="2004" t="s">
        <v>1346</v>
      </c>
      <c r="F32" s="1989" t="str">
        <f>IF(('Val-Dép'!$B$40=""),"",VLOOKUP('Val-Dép'!$B$40,'Val-Dép'!B40:D40,2,FALSE))</f>
        <v/>
      </c>
      <c r="G32" s="1974"/>
      <c r="H32" s="1990"/>
      <c r="I32" s="1991"/>
      <c r="J32" s="1953"/>
      <c r="K32" s="1953"/>
    </row>
    <row r="33" spans="1:15" ht="16.2" thickBot="1" x14ac:dyDescent="0.35">
      <c r="A33" s="1948">
        <v>41</v>
      </c>
      <c r="B33" s="2012"/>
      <c r="C33" s="1963">
        <f>IF('Val-Dép'!I41="NUL","0",'Val-Dép'!E41)</f>
        <v>17003</v>
      </c>
      <c r="D33" s="1983"/>
      <c r="E33" s="2012" t="s">
        <v>1348</v>
      </c>
      <c r="F33" s="1963">
        <f>IF('Val-Dép'!I41="NUL","NUL",'Val-Dép'!I41)</f>
        <v>0</v>
      </c>
      <c r="G33" s="1967"/>
      <c r="H33" s="1968" t="str">
        <f>IF(OR('Val-Dép'!I41="", 'Val-Dép'!I41="note de crédit" ),"0",'Val-Dép'!S41)</f>
        <v>0</v>
      </c>
      <c r="I33" s="1985"/>
      <c r="J33" s="1953"/>
      <c r="K33" s="1953"/>
    </row>
    <row r="34" spans="1:15" ht="16.2" thickBot="1" x14ac:dyDescent="0.35">
      <c r="B34" s="1970"/>
      <c r="C34" s="1971">
        <v>4110</v>
      </c>
      <c r="D34" s="1971"/>
      <c r="E34" s="1970" t="s">
        <v>1810</v>
      </c>
      <c r="F34" s="2015" t="s">
        <v>1822</v>
      </c>
      <c r="G34" s="2016"/>
      <c r="H34" s="1968" t="str">
        <f>IF(OR('Val-Dép'!I41="",  'Val-Dép'!I41="prest.serv.", 'Val-Dép'!I41="Intracomm.",  'Val-Dép'!I41="note de crédit" ),"0",VLOOKUP('Val-Dép'!I41,'Val-Dép'!I41:AD41,18,FALSE))</f>
        <v>0</v>
      </c>
      <c r="I34" s="1969"/>
      <c r="J34" s="1953"/>
      <c r="K34" s="1953"/>
    </row>
    <row r="35" spans="1:15" x14ac:dyDescent="0.3">
      <c r="B35" s="1970"/>
      <c r="C35" s="1971"/>
      <c r="D35" s="1971"/>
      <c r="E35" s="1970" t="s">
        <v>1347</v>
      </c>
      <c r="F35" s="1979" t="str">
        <f>IF(('Val-Dép'!$B$41=""),"",VLOOKUP('Val-Dép'!$B$41,'Val-Dép'!B41:D41,2,FALSE))</f>
        <v/>
      </c>
      <c r="G35" s="1974"/>
      <c r="H35" s="1975"/>
      <c r="I35" s="1968" t="str">
        <f>IF(OR('Val-Dép'!I41="", 'Val-Dép'!I41="note de crédit" ),"0",'Val-Dép'!AB41)</f>
        <v>0</v>
      </c>
      <c r="J35" s="1953"/>
      <c r="K35" s="2007"/>
    </row>
    <row r="36" spans="1:15" ht="16.2" thickBot="1" x14ac:dyDescent="0.35">
      <c r="B36" s="2017">
        <f>'[4]Val-Départ'!B32</f>
        <v>0</v>
      </c>
      <c r="C36" s="1987"/>
      <c r="D36" s="1987"/>
      <c r="E36" s="2004" t="s">
        <v>1346</v>
      </c>
      <c r="F36" s="1989" t="str">
        <f>IF(('Val-Dép'!$B$41=""),"",VLOOKUP('Val-Dép'!$B$41,'Val-Dép'!B41:D41,2,FALSE))</f>
        <v/>
      </c>
      <c r="G36" s="1974"/>
      <c r="H36" s="1990"/>
      <c r="I36" s="1991"/>
      <c r="J36" s="1953"/>
      <c r="K36" s="1953"/>
    </row>
    <row r="37" spans="1:15" ht="16.2" thickBot="1" x14ac:dyDescent="0.35">
      <c r="A37" s="1948">
        <v>42</v>
      </c>
      <c r="B37" s="2012"/>
      <c r="C37" s="1963">
        <f>IF('Val-Dép'!I42="NUL","0",'Val-Dép'!E42)</f>
        <v>17004</v>
      </c>
      <c r="D37" s="1983"/>
      <c r="E37" s="2018" t="s">
        <v>1348</v>
      </c>
      <c r="F37" s="1963">
        <f>IF('Val-Dép'!I42="NUL","NUL",'Val-Dép'!I42)</f>
        <v>0</v>
      </c>
      <c r="G37" s="1967"/>
      <c r="H37" s="1968" t="str">
        <f>IF(OR('Val-Dép'!I42="", 'Val-Dép'!I42="note de crédit" ),"0",'Val-Dép'!S42)</f>
        <v>0</v>
      </c>
      <c r="I37" s="1985"/>
      <c r="J37" s="1953"/>
      <c r="K37" s="1953"/>
    </row>
    <row r="38" spans="1:15" ht="16.2" thickBot="1" x14ac:dyDescent="0.35">
      <c r="B38" s="1970"/>
      <c r="C38" s="1971">
        <v>4110</v>
      </c>
      <c r="D38" s="1971"/>
      <c r="E38" s="2008" t="s">
        <v>1810</v>
      </c>
      <c r="F38" s="2019"/>
      <c r="G38" s="2020"/>
      <c r="H38" s="1968" t="str">
        <f>IF(OR('Val-Dép'!I42="",  'Val-Dép'!I42="prest.serv.", 'Val-Dép'!I42="Intracomm.",  'Val-Dép'!I42="note de crédit" ),"0",VLOOKUP('Val-Dép'!I42,'Val-Dép'!I42:AD42,18,FALSE))</f>
        <v>0</v>
      </c>
      <c r="I38" s="1969"/>
      <c r="J38" s="1953"/>
      <c r="K38" s="1953"/>
    </row>
    <row r="39" spans="1:15" x14ac:dyDescent="0.3">
      <c r="B39" s="1970"/>
      <c r="C39" s="1971"/>
      <c r="D39" s="1971"/>
      <c r="E39" s="2008" t="s">
        <v>1347</v>
      </c>
      <c r="F39" s="1979" t="str">
        <f>IF(('Val-Dép'!$B$42=""),"",VLOOKUP('Val-Dép'!$B$42,'Val-Dép'!B42:D42,2,FALSE))</f>
        <v/>
      </c>
      <c r="G39" s="1974"/>
      <c r="H39" s="1975"/>
      <c r="I39" s="1968" t="str">
        <f>IF(OR('Val-Dép'!I42="", 'Val-Dép'!I42="note de crédit" ),"0",'Val-Dép'!AB42)</f>
        <v>0</v>
      </c>
      <c r="J39" s="1953"/>
      <c r="K39" s="1953"/>
    </row>
    <row r="40" spans="1:15" ht="16.2" thickBot="1" x14ac:dyDescent="0.35">
      <c r="B40" s="2017"/>
      <c r="C40" s="1987"/>
      <c r="D40" s="1987"/>
      <c r="E40" s="2021" t="s">
        <v>1346</v>
      </c>
      <c r="F40" s="1989" t="str">
        <f>IF(('Val-Dép'!$B$42=""),"",VLOOKUP('Val-Dép'!$B$42,'Val-Dép'!B42:D42,2,FALSE))</f>
        <v/>
      </c>
      <c r="G40" s="1974"/>
      <c r="H40" s="1990"/>
      <c r="I40" s="1991"/>
      <c r="J40" s="1953"/>
      <c r="K40" s="1953"/>
    </row>
    <row r="41" spans="1:15" x14ac:dyDescent="0.3">
      <c r="B41" s="2022"/>
      <c r="C41" s="2023"/>
      <c r="D41" s="2023"/>
      <c r="E41" s="4315" t="s">
        <v>11</v>
      </c>
      <c r="F41" s="4316"/>
      <c r="G41" s="2024"/>
      <c r="H41" s="2025">
        <f>SUM(H9:H40)</f>
        <v>5750</v>
      </c>
      <c r="I41" s="2025">
        <f>SUM(I9:I40)</f>
        <v>5750</v>
      </c>
      <c r="J41" s="1953"/>
      <c r="K41" s="1953"/>
    </row>
    <row r="42" spans="1:15" ht="17.399999999999999" x14ac:dyDescent="0.3">
      <c r="B42" s="2026"/>
      <c r="C42" s="2026"/>
      <c r="D42" s="2026"/>
      <c r="E42" s="2026"/>
      <c r="F42" s="2027"/>
      <c r="G42" s="2027"/>
      <c r="H42" s="2027"/>
      <c r="I42" s="2027"/>
      <c r="J42" s="1953"/>
      <c r="K42" s="1953"/>
    </row>
    <row r="43" spans="1:15" x14ac:dyDescent="0.3">
      <c r="B43" s="1953"/>
      <c r="C43" s="1953"/>
      <c r="D43" s="1953"/>
      <c r="E43" s="1953"/>
      <c r="F43" s="2028"/>
      <c r="G43" s="1950" t="s">
        <v>2</v>
      </c>
      <c r="H43" s="1952">
        <f>SUM(H9,H13,H17,H21,H25,H29,H33,H37)</f>
        <v>5750</v>
      </c>
      <c r="I43" s="1952"/>
      <c r="J43" s="1953"/>
      <c r="K43" s="1953"/>
    </row>
    <row r="44" spans="1:15" x14ac:dyDescent="0.3">
      <c r="B44" s="1953"/>
      <c r="C44" s="1953"/>
      <c r="D44" s="1953"/>
      <c r="E44" s="1953"/>
      <c r="G44" s="2031" t="s">
        <v>31</v>
      </c>
      <c r="H44" s="1954">
        <f>SUM(H10,H14,H18,H22,H26,H30,H34,H38)</f>
        <v>0</v>
      </c>
      <c r="J44" s="1953"/>
      <c r="K44" s="1953"/>
    </row>
    <row r="45" spans="1:15" x14ac:dyDescent="0.3">
      <c r="B45" s="1953"/>
      <c r="C45" s="1953"/>
      <c r="D45" s="1953"/>
      <c r="E45" s="1953"/>
      <c r="F45" s="2031"/>
      <c r="G45" s="2033" t="s">
        <v>3</v>
      </c>
      <c r="H45" s="2034"/>
      <c r="I45" s="2035">
        <f>SUM(I11,I15,I19,I23,I27,I31,I35,I39)</f>
        <v>5750</v>
      </c>
      <c r="J45" s="1953"/>
      <c r="K45" s="2029" t="s">
        <v>2</v>
      </c>
      <c r="L45" s="2030" t="s">
        <v>2121</v>
      </c>
      <c r="M45" s="4318" t="s">
        <v>2120</v>
      </c>
      <c r="N45" s="4318"/>
      <c r="O45" s="4318"/>
    </row>
    <row r="46" spans="1:15" x14ac:dyDescent="0.3">
      <c r="B46" s="1953"/>
      <c r="C46" s="1953"/>
      <c r="D46" s="1953"/>
      <c r="E46" s="1953"/>
      <c r="F46" s="2031"/>
      <c r="G46" s="2031"/>
      <c r="H46" s="1954">
        <f>SUM(H43:H45)</f>
        <v>5750</v>
      </c>
      <c r="I46" s="2037">
        <f>SUM(I43:I45)</f>
        <v>5750</v>
      </c>
      <c r="J46" s="1953"/>
      <c r="K46" s="2032" t="s">
        <v>31</v>
      </c>
      <c r="L46" s="2030" t="s">
        <v>2121</v>
      </c>
      <c r="M46" s="4318" t="s">
        <v>2120</v>
      </c>
      <c r="N46" s="4318"/>
      <c r="O46" s="4318"/>
    </row>
    <row r="47" spans="1:15" x14ac:dyDescent="0.3">
      <c r="B47" s="1953"/>
      <c r="C47" s="1953"/>
      <c r="D47" s="1953"/>
      <c r="E47" s="1953"/>
      <c r="F47" s="2031"/>
      <c r="G47" s="2031"/>
      <c r="H47" s="1950"/>
      <c r="I47" s="2037"/>
      <c r="J47" s="1953"/>
      <c r="K47" s="2036" t="s">
        <v>3</v>
      </c>
      <c r="L47" s="2030" t="s">
        <v>2121</v>
      </c>
      <c r="M47" s="4318" t="s">
        <v>2120</v>
      </c>
      <c r="N47" s="4318"/>
      <c r="O47" s="4318"/>
    </row>
    <row r="48" spans="1:15" x14ac:dyDescent="0.3">
      <c r="J48" s="1953"/>
      <c r="K48" s="1953"/>
    </row>
    <row r="49" spans="1:14" ht="18" thickBot="1" x14ac:dyDescent="0.35">
      <c r="E49" s="4321" t="s">
        <v>1821</v>
      </c>
      <c r="F49" s="4321"/>
      <c r="G49" s="4321"/>
      <c r="H49" s="4321"/>
      <c r="J49" s="1953"/>
      <c r="K49" s="1953"/>
    </row>
    <row r="50" spans="1:14" ht="20.399999999999999" x14ac:dyDescent="0.35">
      <c r="E50" s="4322" t="s">
        <v>1820</v>
      </c>
      <c r="F50" s="4323"/>
      <c r="G50" s="4323"/>
      <c r="H50" s="4324"/>
    </row>
    <row r="52" spans="1:14" ht="17.399999999999999" x14ac:dyDescent="0.3">
      <c r="B52" s="4319" t="s">
        <v>1819</v>
      </c>
      <c r="C52" s="4320"/>
      <c r="D52" s="4320"/>
      <c r="E52" s="4320"/>
      <c r="F52" s="4320"/>
    </row>
    <row r="53" spans="1:14" ht="17.399999999999999" x14ac:dyDescent="0.3">
      <c r="B53" s="4325" t="s">
        <v>1808</v>
      </c>
      <c r="C53" s="4334"/>
      <c r="D53" s="4334"/>
      <c r="E53" s="4334"/>
      <c r="F53" s="4334"/>
      <c r="G53" s="4326"/>
      <c r="H53" s="4327" t="e">
        <f>'VAL-INIT'!#REF!</f>
        <v>#REF!</v>
      </c>
      <c r="I53" s="4328"/>
    </row>
    <row r="54" spans="1:14" ht="17.399999999999999" x14ac:dyDescent="0.3">
      <c r="B54" s="2038"/>
      <c r="C54" s="2038"/>
      <c r="D54" s="2039"/>
      <c r="E54" s="4329"/>
      <c r="F54" s="4330"/>
      <c r="G54" s="2040"/>
      <c r="H54" s="2041" t="s">
        <v>3</v>
      </c>
      <c r="I54" s="2042" t="s">
        <v>1818</v>
      </c>
    </row>
    <row r="55" spans="1:14" ht="20.399999999999999" x14ac:dyDescent="0.3">
      <c r="B55" s="2038"/>
      <c r="C55" s="4325" t="s">
        <v>1809</v>
      </c>
      <c r="D55" s="4326"/>
      <c r="E55" s="4331" t="s">
        <v>2084</v>
      </c>
      <c r="F55" s="4332"/>
      <c r="G55" s="4333"/>
      <c r="H55" s="2041"/>
      <c r="I55" s="2042" t="s">
        <v>31</v>
      </c>
    </row>
    <row r="56" spans="1:14" ht="28.2" customHeight="1" x14ac:dyDescent="0.3">
      <c r="B56" s="1956" t="s">
        <v>1353</v>
      </c>
      <c r="C56" s="1956" t="s">
        <v>1352</v>
      </c>
      <c r="D56" s="1956" t="s">
        <v>1351</v>
      </c>
      <c r="E56" s="4335" t="e">
        <f>'VAL-INIT'!#REF!</f>
        <v>#REF!</v>
      </c>
      <c r="F56" s="4336"/>
      <c r="G56" s="4337"/>
      <c r="H56" s="2043" t="s">
        <v>1817</v>
      </c>
      <c r="I56" s="2044" t="s">
        <v>1816</v>
      </c>
      <c r="L56" s="2040"/>
      <c r="M56" s="2040"/>
      <c r="N56" s="2040"/>
    </row>
    <row r="57" spans="1:14" ht="19.5" customHeight="1" x14ac:dyDescent="0.3">
      <c r="B57" s="2023"/>
      <c r="C57" s="2023" t="s">
        <v>56</v>
      </c>
      <c r="D57" s="2023" t="s">
        <v>52</v>
      </c>
      <c r="E57" s="2045"/>
      <c r="F57" s="2034"/>
      <c r="G57" s="2034"/>
      <c r="H57" s="2023" t="s">
        <v>56</v>
      </c>
      <c r="I57" s="2023" t="s">
        <v>52</v>
      </c>
      <c r="L57" s="2040"/>
      <c r="M57" s="2040"/>
      <c r="N57" s="2040"/>
    </row>
    <row r="58" spans="1:14" x14ac:dyDescent="0.3">
      <c r="B58" s="2046"/>
      <c r="C58" s="2046"/>
      <c r="D58" s="2046">
        <v>700</v>
      </c>
      <c r="E58" s="2046" t="s">
        <v>1815</v>
      </c>
      <c r="F58" s="2047" t="str">
        <f>IF(('Val-Dép'!G13=""),"",'Val-Dép'!G13)</f>
        <v>**</v>
      </c>
      <c r="G58" s="2047"/>
      <c r="H58" s="2046"/>
      <c r="I58" s="2047">
        <f>IF(OR('Val-Dép'!G13&lt;&gt;"note de crédit", 'Val-Dép'!G13="cocontractant", 'Val-Dép'!G13="Intracomm.", 'Val-Dép'!G13="Export."                                          ),'Val-Dép'!P13,"0")</f>
        <v>0</v>
      </c>
    </row>
    <row r="59" spans="1:14" s="1950" customFormat="1" x14ac:dyDescent="0.3">
      <c r="A59" s="1948"/>
      <c r="B59" s="2049"/>
      <c r="C59" s="2049"/>
      <c r="D59" s="2049">
        <v>4510</v>
      </c>
      <c r="E59" s="2049" t="s">
        <v>1814</v>
      </c>
      <c r="F59" s="2049" t="s">
        <v>13</v>
      </c>
      <c r="G59" s="2049"/>
      <c r="H59" s="2049"/>
      <c r="I59" s="2047">
        <f>IF(('Val-Dép'!I13=" note de crédit" ),"0",'Val-Dép'!W13)</f>
        <v>0</v>
      </c>
      <c r="K59" s="2028"/>
      <c r="L59" s="2028"/>
      <c r="M59" s="2028"/>
      <c r="N59" s="2028"/>
    </row>
    <row r="60" spans="1:14" s="1950" customFormat="1" x14ac:dyDescent="0.3">
      <c r="A60" s="1948"/>
      <c r="B60" s="2050" t="str">
        <f>IF(('Val-Dép'!B13=""),"",VLOOKUP('Val-Dép'!B13,'Val-Dép'!B13:F13,1,FALSE))</f>
        <v>C00011</v>
      </c>
      <c r="C60" s="2051">
        <v>400</v>
      </c>
      <c r="D60" s="2051"/>
      <c r="E60" s="2051" t="s">
        <v>1629</v>
      </c>
      <c r="F60" s="2050" t="str">
        <f>IF(('Val-Dép'!B13=""),"",'Val-Dép'!C13)</f>
        <v>client01</v>
      </c>
      <c r="G60" s="2050"/>
      <c r="H60" s="2050" t="str">
        <f>IF(OR('Val-Dép'!I13="", 'Val-Dép'!I13="note de crédit" ),"0",'Val-Dép'!V13)</f>
        <v>0</v>
      </c>
      <c r="I60" s="2051"/>
      <c r="L60" s="1967"/>
      <c r="M60" s="2048"/>
    </row>
    <row r="61" spans="1:14" s="1950" customFormat="1" ht="16.2" thickBot="1" x14ac:dyDescent="0.35">
      <c r="A61" s="1948">
        <v>13</v>
      </c>
      <c r="B61" s="2052"/>
      <c r="C61" s="2053"/>
      <c r="D61" s="2054"/>
      <c r="E61" s="2055" t="s">
        <v>1813</v>
      </c>
      <c r="F61" s="2050" t="str">
        <f>IF(('Val-Dép'!B13=""),"",'Val-Dép'!C13)</f>
        <v>client01</v>
      </c>
      <c r="G61" s="2056" t="s">
        <v>1759</v>
      </c>
      <c r="H61" s="2057"/>
      <c r="I61" s="2054"/>
      <c r="L61" s="2048"/>
      <c r="M61" s="2048"/>
    </row>
    <row r="62" spans="1:14" s="1950" customFormat="1" ht="16.2" thickTop="1" x14ac:dyDescent="0.3">
      <c r="A62" s="1948"/>
      <c r="B62" s="2058"/>
      <c r="C62" s="2046"/>
      <c r="D62" s="2059"/>
      <c r="E62" s="2059" t="s">
        <v>1815</v>
      </c>
      <c r="F62" s="2047" t="str">
        <f>IF(('Val-Dép'!G14=""),"",'Val-Dép'!G14)</f>
        <v>**</v>
      </c>
      <c r="G62" s="2060"/>
      <c r="H62" s="2059"/>
      <c r="I62" s="2047">
        <f>IF(OR('Val-Dép'!G14&lt;&gt;"note de crédit", 'Val-Dép'!G14="cocontractant", 'Val-Dép'!G14="Intracomm.", 'Val-Dép'!G14="Export."                                          ),'Val-Dép'!P14,"0")</f>
        <v>0</v>
      </c>
      <c r="K62" s="1950">
        <v>13</v>
      </c>
      <c r="M62" s="2048"/>
    </row>
    <row r="63" spans="1:14" s="1950" customFormat="1" x14ac:dyDescent="0.3">
      <c r="A63" s="1948"/>
      <c r="B63" s="2061"/>
      <c r="C63" s="2049"/>
      <c r="D63" s="2049"/>
      <c r="E63" s="2049" t="s">
        <v>1814</v>
      </c>
      <c r="F63" s="2049" t="s">
        <v>13</v>
      </c>
      <c r="G63" s="2049"/>
      <c r="H63" s="2049"/>
      <c r="I63" s="2047">
        <f>IF(('Val-Dép'!I14=" note de crédit" ),"0",'Val-Dép'!W14)</f>
        <v>0</v>
      </c>
      <c r="K63" s="1950">
        <v>14</v>
      </c>
      <c r="M63" s="2048"/>
    </row>
    <row r="64" spans="1:14" s="1950" customFormat="1" x14ac:dyDescent="0.3">
      <c r="A64" s="1948"/>
      <c r="B64" s="2050" t="str">
        <f>IF(('Val-Dép'!B14=""),"",VLOOKUP('Val-Dép'!B14,'Val-Dép'!B14:F14,1,FALSE))</f>
        <v>C00022</v>
      </c>
      <c r="C64" s="2051"/>
      <c r="D64" s="2051"/>
      <c r="E64" s="2051" t="s">
        <v>1629</v>
      </c>
      <c r="F64" s="2050" t="str">
        <f>IF(('Val-Dép'!B14=""),"",'Val-Dép'!C14)</f>
        <v>client02</v>
      </c>
      <c r="G64" s="2050"/>
      <c r="H64" s="2050">
        <f>IF(OR('Val-Dép'!I14="", 'Val-Dép'!I14="note de crédit" ),"0",'Val-Dép'!V14)</f>
        <v>0</v>
      </c>
      <c r="I64" s="2051"/>
      <c r="K64" s="1950">
        <v>15</v>
      </c>
      <c r="M64" s="2048"/>
    </row>
    <row r="65" spans="1:13" s="1950" customFormat="1" ht="16.2" thickBot="1" x14ac:dyDescent="0.35">
      <c r="A65" s="1948">
        <v>14</v>
      </c>
      <c r="B65" s="2052"/>
      <c r="C65" s="2053"/>
      <c r="D65" s="2054"/>
      <c r="E65" s="2055" t="s">
        <v>1813</v>
      </c>
      <c r="F65" s="2056"/>
      <c r="G65" s="2056"/>
      <c r="H65" s="2057"/>
      <c r="I65" s="2054"/>
      <c r="K65" s="1950">
        <v>16</v>
      </c>
      <c r="M65" s="2048"/>
    </row>
    <row r="66" spans="1:13" s="1950" customFormat="1" ht="16.2" thickTop="1" x14ac:dyDescent="0.3">
      <c r="A66" s="1948"/>
      <c r="B66" s="2058"/>
      <c r="C66" s="2046"/>
      <c r="D66" s="2059"/>
      <c r="E66" s="2059" t="s">
        <v>1815</v>
      </c>
      <c r="F66" s="2047" t="str">
        <f>IF(('Val-Dép'!G15=""),"",'Val-Dép'!G15)</f>
        <v>**</v>
      </c>
      <c r="G66" s="2060"/>
      <c r="H66" s="2059"/>
      <c r="I66" s="2047">
        <f>IF(OR('Val-Dép'!G15&lt;&gt;"note de crédit", 'Val-Dép'!G15="cocontractant", 'Val-Dép'!G15="Intracomm.", 'Val-Dép'!G15="Export."                                          ),'Val-Dép'!P15,"0")</f>
        <v>0</v>
      </c>
      <c r="K66" s="1950">
        <v>17</v>
      </c>
      <c r="M66" s="2048"/>
    </row>
    <row r="67" spans="1:13" s="1950" customFormat="1" x14ac:dyDescent="0.3">
      <c r="A67" s="1948"/>
      <c r="B67" s="2061"/>
      <c r="C67" s="2049"/>
      <c r="D67" s="2049"/>
      <c r="E67" s="2049" t="s">
        <v>1814</v>
      </c>
      <c r="F67" s="2049" t="s">
        <v>13</v>
      </c>
      <c r="G67" s="2049"/>
      <c r="H67" s="2049"/>
      <c r="I67" s="2047">
        <f>IF(('Val-Dép'!I15=" note de crédit" ),"0",'Val-Dép'!W15)</f>
        <v>0</v>
      </c>
      <c r="K67" s="1950">
        <v>18</v>
      </c>
      <c r="M67" s="2048"/>
    </row>
    <row r="68" spans="1:13" s="1950" customFormat="1" x14ac:dyDescent="0.3">
      <c r="A68" s="1948"/>
      <c r="B68" s="2050" t="str">
        <f>IF(('Val-Dép'!B15=""),"",VLOOKUP('Val-Dép'!B15,'Val-Dép'!B15:F15,1,FALSE))</f>
        <v>C00033</v>
      </c>
      <c r="C68" s="2051"/>
      <c r="D68" s="2051"/>
      <c r="E68" s="2051" t="s">
        <v>1629</v>
      </c>
      <c r="F68" s="2050">
        <f>IF(('Val-Dép'!B15=""),"",'Val-Dép'!C15)</f>
        <v>0</v>
      </c>
      <c r="G68" s="2050"/>
      <c r="H68" s="2050">
        <f>IF(OR('Val-Dép'!I15="", 'Val-Dép'!I15="note de crédit" ),"0",'Val-Dép'!V15)</f>
        <v>0</v>
      </c>
      <c r="I68" s="2051"/>
      <c r="K68" s="1950">
        <v>19</v>
      </c>
      <c r="M68" s="2048"/>
    </row>
    <row r="69" spans="1:13" s="1950" customFormat="1" ht="16.2" thickBot="1" x14ac:dyDescent="0.35">
      <c r="A69" s="1948">
        <v>15</v>
      </c>
      <c r="B69" s="2052"/>
      <c r="C69" s="2053"/>
      <c r="D69" s="2054"/>
      <c r="E69" s="2055" t="s">
        <v>1813</v>
      </c>
      <c r="F69" s="2056"/>
      <c r="G69" s="2056"/>
      <c r="H69" s="2056"/>
      <c r="I69" s="2054"/>
      <c r="K69" s="1950">
        <v>20</v>
      </c>
      <c r="M69" s="2048"/>
    </row>
    <row r="70" spans="1:13" s="1950" customFormat="1" ht="16.2" thickTop="1" x14ac:dyDescent="0.3">
      <c r="A70" s="1948"/>
      <c r="B70" s="2058"/>
      <c r="C70" s="2046"/>
      <c r="D70" s="2059"/>
      <c r="E70" s="2059" t="s">
        <v>1815</v>
      </c>
      <c r="F70" s="2047" t="str">
        <f>IF(('Val-Dép'!G16=""),"",'Val-Dép'!G16)</f>
        <v>**</v>
      </c>
      <c r="G70" s="2060"/>
      <c r="H70" s="2059"/>
      <c r="I70" s="2047">
        <f>IF(OR('Val-Dép'!G16&lt;&gt;"note de crédit", 'Val-Dép'!G16="cocontractant", 'Val-Dép'!G16="Intracomm.", 'Val-Dép'!G16="Export."                                          ),'Val-Dép'!P16,"0")</f>
        <v>0</v>
      </c>
      <c r="K70" s="1950">
        <v>21</v>
      </c>
      <c r="M70" s="2048"/>
    </row>
    <row r="71" spans="1:13" s="1950" customFormat="1" x14ac:dyDescent="0.3">
      <c r="A71" s="1948"/>
      <c r="B71" s="2061"/>
      <c r="C71" s="2049"/>
      <c r="D71" s="2049"/>
      <c r="E71" s="2049" t="s">
        <v>1814</v>
      </c>
      <c r="F71" s="2049" t="s">
        <v>13</v>
      </c>
      <c r="G71" s="2049"/>
      <c r="H71" s="2049"/>
      <c r="I71" s="2047">
        <f>IF(('Val-Dép'!I16=" note de crédit" ),"0",'Val-Dép'!W16)</f>
        <v>0</v>
      </c>
      <c r="K71" s="1950">
        <v>22</v>
      </c>
      <c r="M71" s="2048"/>
    </row>
    <row r="72" spans="1:13" s="1950" customFormat="1" x14ac:dyDescent="0.3">
      <c r="A72" s="1948">
        <v>16</v>
      </c>
      <c r="B72" s="2050" t="str">
        <f>IF(('Val-Dép'!B16=""),"",VLOOKUP('Val-Dép'!B16,'Val-Dép'!B16:F16,1,FALSE))</f>
        <v>C00044</v>
      </c>
      <c r="C72" s="2051"/>
      <c r="D72" s="2051"/>
      <c r="E72" s="2051" t="s">
        <v>1629</v>
      </c>
      <c r="F72" s="2050">
        <f>IF(('Val-Dép'!B16=""),"",'Val-Dép'!C16)</f>
        <v>0</v>
      </c>
      <c r="G72" s="2050"/>
      <c r="H72" s="2050">
        <f>IF(OR('Val-Dép'!I16="", 'Val-Dép'!I16="note de crédit" ),"0",'Val-Dép'!V16)</f>
        <v>0</v>
      </c>
      <c r="I72" s="2051"/>
      <c r="J72" s="1950">
        <v>16</v>
      </c>
      <c r="K72" s="1950">
        <v>23</v>
      </c>
      <c r="M72" s="2048"/>
    </row>
    <row r="73" spans="1:13" s="1950" customFormat="1" ht="16.2" thickBot="1" x14ac:dyDescent="0.35">
      <c r="A73" s="1948"/>
      <c r="B73" s="2052"/>
      <c r="C73" s="2053"/>
      <c r="D73" s="2054"/>
      <c r="E73" s="2055" t="s">
        <v>1813</v>
      </c>
      <c r="F73" s="2056"/>
      <c r="G73" s="2056"/>
      <c r="H73" s="2057"/>
      <c r="I73" s="2054"/>
      <c r="L73" s="2047">
        <f>IF(OR('Val-Dép'!G24&lt;&gt;"note de crédit", 'Val-Dép'!G24="cocontractant", 'Val-Dép'!G24="Intracomm.", 'Val-Dép'!G24="Export."                                          ),'Val-Dép'!P24,"0")</f>
        <v>0</v>
      </c>
      <c r="M73" s="2048"/>
    </row>
    <row r="74" spans="1:13" s="1950" customFormat="1" ht="16.2" thickTop="1" x14ac:dyDescent="0.3">
      <c r="A74" s="1948"/>
      <c r="B74" s="2058"/>
      <c r="C74" s="2046"/>
      <c r="D74" s="2059"/>
      <c r="E74" s="2059" t="s">
        <v>1815</v>
      </c>
      <c r="F74" s="2047" t="str">
        <f>IF(('Val-Dép'!G17=""),"",'Val-Dép'!G17)</f>
        <v>**</v>
      </c>
      <c r="G74" s="2060"/>
      <c r="H74" s="2059"/>
      <c r="I74" s="2047">
        <f>IF(OR('Val-Dép'!G17&lt;&gt;"note de crédit", 'Val-Dép'!G17="cocontractant", 'Val-Dép'!G17="Intracomm.", 'Val-Dép'!G17="Export."                                          ),'Val-Dép'!P17,"0")</f>
        <v>0</v>
      </c>
      <c r="L74" s="2062"/>
      <c r="M74" s="2048"/>
    </row>
    <row r="75" spans="1:13" s="1950" customFormat="1" x14ac:dyDescent="0.3">
      <c r="A75" s="1948"/>
      <c r="B75" s="2061"/>
      <c r="C75" s="2049"/>
      <c r="D75" s="2049"/>
      <c r="E75" s="2049" t="s">
        <v>1814</v>
      </c>
      <c r="F75" s="2049" t="s">
        <v>13</v>
      </c>
      <c r="G75" s="2049"/>
      <c r="H75" s="2049"/>
      <c r="I75" s="2047">
        <f>IF(('Val-Dép'!I17=" note de crédit" ),"0",'Val-Dép'!W17)</f>
        <v>0</v>
      </c>
      <c r="L75" s="2062"/>
      <c r="M75" s="2048"/>
    </row>
    <row r="76" spans="1:13" s="1950" customFormat="1" x14ac:dyDescent="0.3">
      <c r="A76" s="1948">
        <v>17</v>
      </c>
      <c r="B76" s="2050" t="str">
        <f>IF(('Val-Dép'!B17=""),"",VLOOKUP('Val-Dép'!B17,'Val-Dép'!B17:F17,1,FALSE))</f>
        <v>C00055</v>
      </c>
      <c r="C76" s="2051"/>
      <c r="D76" s="2051"/>
      <c r="E76" s="2051" t="s">
        <v>1629</v>
      </c>
      <c r="F76" s="2050">
        <f>IF(('Val-Dép'!B17=""),"",'Val-Dép'!C17)</f>
        <v>0</v>
      </c>
      <c r="G76" s="2050"/>
      <c r="H76" s="2050">
        <f>IF(OR('Val-Dép'!I17="", 'Val-Dép'!I17="note de crédit" ),"0",'Val-Dép'!V17)</f>
        <v>0</v>
      </c>
      <c r="I76" s="2051"/>
      <c r="J76" s="1950">
        <v>17</v>
      </c>
      <c r="M76" s="2048"/>
    </row>
    <row r="77" spans="1:13" s="1950" customFormat="1" ht="16.2" thickBot="1" x14ac:dyDescent="0.35">
      <c r="A77" s="1948"/>
      <c r="B77" s="2052"/>
      <c r="C77" s="2053"/>
      <c r="D77" s="2054"/>
      <c r="E77" s="2055" t="s">
        <v>1813</v>
      </c>
      <c r="F77" s="2056"/>
      <c r="G77" s="2056"/>
      <c r="H77" s="2057"/>
      <c r="I77" s="2054"/>
    </row>
    <row r="78" spans="1:13" s="1950" customFormat="1" ht="16.2" thickTop="1" x14ac:dyDescent="0.3">
      <c r="A78" s="1948"/>
      <c r="B78" s="2058"/>
      <c r="C78" s="2046"/>
      <c r="D78" s="2059"/>
      <c r="E78" s="2059" t="s">
        <v>1815</v>
      </c>
      <c r="F78" s="2047" t="str">
        <f>IF(('Val-Dép'!G18=""),"",'Val-Dép'!G18)</f>
        <v>**</v>
      </c>
      <c r="G78" s="2060"/>
      <c r="H78" s="2059"/>
      <c r="I78" s="2047">
        <f>IF(OR('Val-Dép'!G18&lt;&gt;"note de crédit", 'Val-Dép'!G18="cocontractant", 'Val-Dép'!G18="Intracomm.", 'Val-Dép'!G18="Export."                                          ),'Val-Dép'!P18,"0")</f>
        <v>0</v>
      </c>
    </row>
    <row r="79" spans="1:13" s="1950" customFormat="1" x14ac:dyDescent="0.3">
      <c r="A79" s="1948"/>
      <c r="B79" s="2061"/>
      <c r="C79" s="2049"/>
      <c r="D79" s="2049"/>
      <c r="E79" s="2049" t="s">
        <v>1814</v>
      </c>
      <c r="F79" s="2049" t="s">
        <v>13</v>
      </c>
      <c r="G79" s="2049"/>
      <c r="H79" s="2049"/>
      <c r="I79" s="2047">
        <f>IF(('Val-Dép'!I18=" note de crédit" ),"0",'Val-Dép'!W18)</f>
        <v>0</v>
      </c>
    </row>
    <row r="80" spans="1:13" x14ac:dyDescent="0.3">
      <c r="A80" s="1948">
        <v>18</v>
      </c>
      <c r="B80" s="2050" t="str">
        <f>IF(('Val-Dép'!B18=""),"",VLOOKUP('Val-Dép'!B18,'Val-Dép'!B18:F18,1,FALSE))</f>
        <v>C0006</v>
      </c>
      <c r="C80" s="2051"/>
      <c r="D80" s="2051"/>
      <c r="E80" s="2051" t="s">
        <v>1629</v>
      </c>
      <c r="F80" s="2050">
        <f>IF(('Val-Dép'!B18=""),"",'Val-Dép'!C18)</f>
        <v>0</v>
      </c>
      <c r="G80" s="2050"/>
      <c r="H80" s="2050">
        <f>IF(OR('Val-Dép'!I18="", 'Val-Dép'!I18="note de crédit" ),"0",'Val-Dép'!V18)</f>
        <v>0</v>
      </c>
      <c r="I80" s="2051"/>
      <c r="J80" s="1949">
        <v>18</v>
      </c>
    </row>
    <row r="81" spans="1:12" ht="18.600000000000001" thickBot="1" x14ac:dyDescent="0.4">
      <c r="B81" s="2052"/>
      <c r="C81" s="2053"/>
      <c r="D81" s="2054"/>
      <c r="E81" s="2055" t="s">
        <v>1813</v>
      </c>
      <c r="F81" s="2056"/>
      <c r="G81" s="2056"/>
      <c r="H81" s="2057"/>
      <c r="I81" s="2054"/>
      <c r="L81" s="2063"/>
    </row>
    <row r="82" spans="1:12" ht="16.2" thickTop="1" x14ac:dyDescent="0.3">
      <c r="B82" s="2058"/>
      <c r="C82" s="2046"/>
      <c r="D82" s="2059"/>
      <c r="E82" s="2059" t="s">
        <v>1815</v>
      </c>
      <c r="F82" s="2047" t="str">
        <f>IF(('Val-Dép'!G19=""),"",'Val-Dép'!G19)</f>
        <v>**</v>
      </c>
      <c r="G82" s="2060"/>
      <c r="H82" s="2059"/>
      <c r="I82" s="2047">
        <f>IF(OR('Val-Dép'!G19&lt;&gt;"note de crédit", 'Val-Dép'!G19="cocontractant", 'Val-Dép'!G19="Intracomm.", 'Val-Dép'!G19="Export."                                          ),'Val-Dép'!P19,"0")</f>
        <v>0</v>
      </c>
    </row>
    <row r="83" spans="1:12" x14ac:dyDescent="0.3">
      <c r="B83" s="2061"/>
      <c r="C83" s="2049"/>
      <c r="D83" s="2049"/>
      <c r="E83" s="2049" t="s">
        <v>1814</v>
      </c>
      <c r="F83" s="2049" t="s">
        <v>13</v>
      </c>
      <c r="G83" s="2049"/>
      <c r="H83" s="2049"/>
      <c r="I83" s="2047">
        <f>IF(('Val-Dép'!I19=" note de crédit" ),"0",'Val-Dép'!W19)</f>
        <v>0</v>
      </c>
    </row>
    <row r="84" spans="1:12" x14ac:dyDescent="0.3">
      <c r="A84" s="1948">
        <v>19</v>
      </c>
      <c r="B84" s="2050" t="str">
        <f>IF(('Val-Dép'!B19=""),"",VLOOKUP('Val-Dép'!B19,'Val-Dép'!B19:F19,1,FALSE))</f>
        <v>C0007</v>
      </c>
      <c r="C84" s="2051"/>
      <c r="D84" s="2051"/>
      <c r="E84" s="2051" t="s">
        <v>1629</v>
      </c>
      <c r="F84" s="2050">
        <f>IF(('Val-Dép'!B19=""),"",'Val-Dép'!C19)</f>
        <v>0</v>
      </c>
      <c r="G84" s="2050"/>
      <c r="H84" s="2050">
        <f>IF(OR('Val-Dép'!I19="", 'Val-Dép'!I19="note de crédit" ),"0",'Val-Dép'!V19)</f>
        <v>0</v>
      </c>
      <c r="I84" s="2051"/>
      <c r="J84" s="1949">
        <v>19</v>
      </c>
    </row>
    <row r="85" spans="1:12" s="1950" customFormat="1" ht="16.2" thickBot="1" x14ac:dyDescent="0.35">
      <c r="A85" s="1948"/>
      <c r="B85" s="2052"/>
      <c r="C85" s="2053"/>
      <c r="D85" s="2064"/>
      <c r="E85" s="2055" t="s">
        <v>1813</v>
      </c>
      <c r="F85" s="2065"/>
      <c r="G85" s="2065"/>
      <c r="H85" s="2066"/>
      <c r="I85" s="2064"/>
    </row>
    <row r="86" spans="1:12" s="1950" customFormat="1" ht="16.2" thickTop="1" x14ac:dyDescent="0.3">
      <c r="A86" s="1948"/>
      <c r="B86" s="2058"/>
      <c r="C86" s="2046"/>
      <c r="D86" s="2059"/>
      <c r="E86" s="2059" t="s">
        <v>1815</v>
      </c>
      <c r="F86" s="2047" t="str">
        <f>IF(('Val-Dép'!G20=""),"",'Val-Dép'!G20)</f>
        <v>**</v>
      </c>
      <c r="G86" s="2060"/>
      <c r="H86" s="2059"/>
      <c r="I86" s="2047">
        <f>IF(OR('Val-Dép'!G20&lt;&gt;"note de crédit", 'Val-Dép'!G20="cocontractant", 'Val-Dép'!G20="Intracomm.", 'Val-Dép'!G20="Export."                                          ),'Val-Dép'!P20,"0")</f>
        <v>0</v>
      </c>
    </row>
    <row r="87" spans="1:12" s="1950" customFormat="1" x14ac:dyDescent="0.3">
      <c r="A87" s="1948"/>
      <c r="B87" s="2061"/>
      <c r="C87" s="2049"/>
      <c r="D87" s="2049"/>
      <c r="E87" s="2049" t="s">
        <v>1814</v>
      </c>
      <c r="F87" s="2049" t="s">
        <v>13</v>
      </c>
      <c r="G87" s="2049"/>
      <c r="H87" s="2049"/>
      <c r="I87" s="2047">
        <f>IF(('Val-Dép'!I20=" note de crédit" ),"0",'Val-Dép'!W20)</f>
        <v>0</v>
      </c>
    </row>
    <row r="88" spans="1:12" x14ac:dyDescent="0.3">
      <c r="A88" s="1948">
        <v>20</v>
      </c>
      <c r="B88" s="2050" t="str">
        <f>IF(('Val-Dép'!B20=""),"",VLOOKUP('Val-Dép'!B20,'Val-Dép'!B20:F20,1,FALSE))</f>
        <v>C0008</v>
      </c>
      <c r="C88" s="2051"/>
      <c r="D88" s="2051"/>
      <c r="E88" s="2051" t="s">
        <v>1629</v>
      </c>
      <c r="F88" s="2050">
        <f>IF(('Val-Dép'!B20=""),"",'Val-Dép'!C20)</f>
        <v>0</v>
      </c>
      <c r="G88" s="2050"/>
      <c r="H88" s="2050">
        <f>IF(OR('Val-Dép'!I20="", 'Val-Dép'!I20="note de crédit" ),"0",'Val-Dép'!V20)</f>
        <v>0</v>
      </c>
      <c r="I88" s="2051"/>
      <c r="J88" s="1949">
        <v>20</v>
      </c>
    </row>
    <row r="89" spans="1:12" s="1950" customFormat="1" ht="16.2" thickBot="1" x14ac:dyDescent="0.35">
      <c r="A89" s="1948"/>
      <c r="B89" s="2052"/>
      <c r="C89" s="2053"/>
      <c r="D89" s="2064"/>
      <c r="E89" s="2055" t="s">
        <v>1813</v>
      </c>
      <c r="F89" s="2065"/>
      <c r="G89" s="2065"/>
      <c r="H89" s="2066"/>
      <c r="I89" s="2064"/>
    </row>
    <row r="90" spans="1:12" s="1950" customFormat="1" ht="16.2" thickTop="1" x14ac:dyDescent="0.3">
      <c r="A90" s="1948"/>
      <c r="B90" s="2058"/>
      <c r="C90" s="2046"/>
      <c r="D90" s="2059"/>
      <c r="E90" s="2059" t="s">
        <v>1815</v>
      </c>
      <c r="F90" s="2047" t="str">
        <f>IF(('Val-Dép'!G21=""),"",'Val-Dép'!G21)</f>
        <v>**</v>
      </c>
      <c r="G90" s="2060"/>
      <c r="H90" s="2059"/>
      <c r="I90" s="2047">
        <f>IF(OR('Val-Dép'!G21&lt;&gt;"note de crédit", 'Val-Dép'!G21="cocontractant", 'Val-Dép'!G21="Intracomm.", 'Val-Dép'!G21="Export."                                          ),'Val-Dép'!P21,"0")</f>
        <v>0</v>
      </c>
    </row>
    <row r="91" spans="1:12" s="1950" customFormat="1" x14ac:dyDescent="0.3">
      <c r="A91" s="1948"/>
      <c r="B91" s="2061"/>
      <c r="C91" s="2049"/>
      <c r="D91" s="2049"/>
      <c r="E91" s="2049" t="s">
        <v>1814</v>
      </c>
      <c r="F91" s="2049" t="s">
        <v>13</v>
      </c>
      <c r="G91" s="2049"/>
      <c r="H91" s="2049"/>
      <c r="I91" s="2047">
        <f>IF(('Val-Dép'!I21=" note de crédit" ),"0",'Val-Dép'!W21)</f>
        <v>0</v>
      </c>
    </row>
    <row r="92" spans="1:12" x14ac:dyDescent="0.3">
      <c r="A92" s="1948">
        <v>21</v>
      </c>
      <c r="B92" s="2050" t="str">
        <f>IF(('Val-Dép'!B21=""),"",VLOOKUP('Val-Dép'!B21,'Val-Dép'!B21:F21,1,FALSE))</f>
        <v>C0009</v>
      </c>
      <c r="C92" s="2051"/>
      <c r="D92" s="2051"/>
      <c r="E92" s="2051" t="s">
        <v>1629</v>
      </c>
      <c r="F92" s="2050">
        <f>IF(('Val-Dép'!B21=""),"",'Val-Dép'!C21)</f>
        <v>0</v>
      </c>
      <c r="G92" s="2050"/>
      <c r="H92" s="2050">
        <f>IF(OR('Val-Dép'!I21="", 'Val-Dép'!I21="note de crédit" ),"0",'Val-Dép'!V21)</f>
        <v>0</v>
      </c>
      <c r="I92" s="2051"/>
      <c r="J92" s="1949">
        <v>21</v>
      </c>
    </row>
    <row r="93" spans="1:12" s="1950" customFormat="1" ht="16.2" thickBot="1" x14ac:dyDescent="0.35">
      <c r="A93" s="1948"/>
      <c r="B93" s="2052"/>
      <c r="C93" s="2053"/>
      <c r="D93" s="2064"/>
      <c r="E93" s="2055" t="s">
        <v>1813</v>
      </c>
      <c r="F93" s="2065"/>
      <c r="G93" s="2065"/>
      <c r="H93" s="2066"/>
      <c r="I93" s="2064"/>
    </row>
    <row r="94" spans="1:12" s="1950" customFormat="1" ht="16.2" thickTop="1" x14ac:dyDescent="0.3">
      <c r="A94" s="1948"/>
      <c r="B94" s="2058"/>
      <c r="C94" s="2046"/>
      <c r="D94" s="2059"/>
      <c r="E94" s="2059" t="s">
        <v>1815</v>
      </c>
      <c r="F94" s="2047" t="str">
        <f>IF(('Val-Dép'!G22=""),"",'Val-Dép'!G22)</f>
        <v>**</v>
      </c>
      <c r="G94" s="2060"/>
      <c r="H94" s="2059"/>
      <c r="I94" s="2047">
        <f>IF(OR('Val-Dép'!G22&lt;&gt;"note de crédit", 'Val-Dép'!G22="cocontractant", 'Val-Dép'!G22="Intracomm.", 'Val-Dép'!G22="Export."                                          ),'Val-Dép'!P22,"0")</f>
        <v>0</v>
      </c>
    </row>
    <row r="95" spans="1:12" s="1950" customFormat="1" x14ac:dyDescent="0.3">
      <c r="A95" s="1948"/>
      <c r="B95" s="2061"/>
      <c r="C95" s="2049"/>
      <c r="D95" s="2049"/>
      <c r="E95" s="2049" t="s">
        <v>1814</v>
      </c>
      <c r="F95" s="2049" t="s">
        <v>13</v>
      </c>
      <c r="G95" s="2049"/>
      <c r="H95" s="2049"/>
      <c r="I95" s="2047">
        <f>IF(('Val-Dép'!I22=" note de crédit" ),"0",'Val-Dép'!W22)</f>
        <v>0</v>
      </c>
    </row>
    <row r="96" spans="1:12" x14ac:dyDescent="0.3">
      <c r="A96" s="1948">
        <v>22</v>
      </c>
      <c r="B96" s="2050" t="str">
        <f>IF(('Val-Dép'!B22=""),"",VLOOKUP('Val-Dép'!B22,'Val-Dép'!B22:F22,1,FALSE))</f>
        <v>C00010</v>
      </c>
      <c r="C96" s="2051"/>
      <c r="D96" s="2051"/>
      <c r="E96" s="2051" t="s">
        <v>1629</v>
      </c>
      <c r="F96" s="2050">
        <f>IF(('Val-Dép'!B22=""),"",'Val-Dép'!C22)</f>
        <v>0</v>
      </c>
      <c r="G96" s="2050"/>
      <c r="H96" s="2050">
        <f>IF(OR('Val-Dép'!I22="", 'Val-Dép'!I22="note de crédit" ),"0",'Val-Dép'!V22)</f>
        <v>0</v>
      </c>
      <c r="I96" s="2051"/>
      <c r="J96" s="1949">
        <v>22</v>
      </c>
    </row>
    <row r="97" spans="1:15" ht="16.2" thickBot="1" x14ac:dyDescent="0.35">
      <c r="B97" s="2052"/>
      <c r="C97" s="2053"/>
      <c r="D97" s="2064"/>
      <c r="E97" s="2055" t="s">
        <v>1813</v>
      </c>
      <c r="F97" s="2065"/>
      <c r="G97" s="2065"/>
      <c r="H97" s="2066"/>
      <c r="I97" s="2064"/>
    </row>
    <row r="98" spans="1:15" ht="16.2" thickTop="1" x14ac:dyDescent="0.3">
      <c r="A98" s="2067"/>
      <c r="B98" s="2058"/>
      <c r="C98" s="2046"/>
      <c r="D98" s="2059"/>
      <c r="E98" s="2059" t="s">
        <v>1815</v>
      </c>
      <c r="F98" s="2047" t="str">
        <f>IF(('Val-Dép'!G23=""),"",'Val-Dép'!G23)</f>
        <v>**</v>
      </c>
      <c r="G98" s="2060"/>
      <c r="H98" s="2059"/>
      <c r="I98" s="2047">
        <f>IF(OR('Val-Dép'!G23&lt;&gt;"note de crédit", 'Val-Dép'!G23="cocontractant", 'Val-Dép'!G23="Intracomm.", 'Val-Dép'!G23="Export."                                          ),'Val-Dép'!P23,"0")</f>
        <v>0</v>
      </c>
    </row>
    <row r="99" spans="1:15" x14ac:dyDescent="0.3">
      <c r="B99" s="2061"/>
      <c r="C99" s="2049"/>
      <c r="D99" s="2049"/>
      <c r="E99" s="2049" t="s">
        <v>1814</v>
      </c>
      <c r="F99" s="2049" t="s">
        <v>13</v>
      </c>
      <c r="G99" s="2049"/>
      <c r="H99" s="2050">
        <f>IF(OR('Val-Dép'!I23="", 'Val-Dép'!I23="note de crédit" ),"0",'Val-Dép'!V23)</f>
        <v>0</v>
      </c>
      <c r="I99" s="2047">
        <f>IF(('Val-Dép'!I23=" note de crédit" ),"0",'Val-Dép'!W23)</f>
        <v>0</v>
      </c>
    </row>
    <row r="100" spans="1:15" ht="16.2" thickBot="1" x14ac:dyDescent="0.35">
      <c r="A100" s="1948">
        <v>23</v>
      </c>
      <c r="B100" s="2050" t="str">
        <f>IF(('Val-Dép'!B23=""),"",VLOOKUP('Val-Dép'!B23,'Val-Dép'!B23:F23,1,FALSE))</f>
        <v>C00011</v>
      </c>
      <c r="C100" s="2051"/>
      <c r="D100" s="2068"/>
      <c r="E100" s="2051" t="s">
        <v>1629</v>
      </c>
      <c r="F100" s="2050">
        <f>IF(('Val-Dép'!B23=""),"",'Val-Dép'!C23)</f>
        <v>0</v>
      </c>
      <c r="G100" s="2050"/>
      <c r="H100" s="2069">
        <f>IF(OR('[5]Val-Dép'!H23="", '[5]Val-Dép'!H23="note de crédit" ),"0",VLOOKUP('[5]Val-Dép'!H23,'[5]Val-Dép'!H23:AB23,14,FALSE))</f>
        <v>0</v>
      </c>
      <c r="I100" s="2051"/>
      <c r="J100" s="1949">
        <v>23</v>
      </c>
    </row>
    <row r="101" spans="1:15" ht="16.8" thickTop="1" thickBot="1" x14ac:dyDescent="0.35">
      <c r="B101" s="2070"/>
      <c r="C101" s="1955"/>
      <c r="D101" s="2071"/>
      <c r="E101" s="2055" t="s">
        <v>1813</v>
      </c>
      <c r="F101" s="2072"/>
      <c r="G101" s="2072"/>
      <c r="H101" s="2072"/>
      <c r="I101" s="2071"/>
    </row>
    <row r="102" spans="1:15" ht="16.2" thickTop="1" x14ac:dyDescent="0.3">
      <c r="A102" s="2067"/>
      <c r="B102" s="2073"/>
      <c r="C102" s="1955"/>
      <c r="D102" s="1955"/>
      <c r="E102" s="1955"/>
      <c r="F102" s="1955"/>
      <c r="G102" s="1955"/>
      <c r="H102" s="1953"/>
      <c r="I102" s="2074">
        <f>SUM(I58,I62,I66,I70,I74,I78,I82,I86,I90,I94,I98)</f>
        <v>0</v>
      </c>
    </row>
    <row r="103" spans="1:15" x14ac:dyDescent="0.3">
      <c r="A103" s="2067"/>
      <c r="B103" s="2073"/>
      <c r="C103" s="1955"/>
      <c r="D103" s="1955"/>
      <c r="E103" s="1955"/>
      <c r="F103" s="1955"/>
      <c r="G103" s="1955"/>
      <c r="H103" s="1953"/>
      <c r="I103" s="2075">
        <f>SUM(I59,I63,I67,I71,I75,I79,I83,I87,I91,I95,I99)</f>
        <v>0</v>
      </c>
    </row>
    <row r="104" spans="1:15" s="1953" customFormat="1" x14ac:dyDescent="0.3">
      <c r="A104" s="2067"/>
      <c r="B104" s="2073"/>
      <c r="C104" s="1955"/>
      <c r="D104" s="1955"/>
      <c r="E104" s="1955"/>
      <c r="F104" s="1955"/>
      <c r="G104" s="1955"/>
      <c r="H104" s="2075">
        <f>SUM(H60,H64,H68,H72,H76,H80,H84,H88,H92,H96,H99)</f>
        <v>0</v>
      </c>
      <c r="I104" s="2075">
        <f>SUM(I58:I100)</f>
        <v>0</v>
      </c>
      <c r="J104" s="4318" t="s">
        <v>2</v>
      </c>
      <c r="K104" s="4318"/>
      <c r="L104" s="2030" t="s">
        <v>1629</v>
      </c>
      <c r="M104" s="4318" t="s">
        <v>2120</v>
      </c>
      <c r="N104" s="4318"/>
      <c r="O104" s="4318"/>
    </row>
    <row r="105" spans="1:15" s="1953" customFormat="1" x14ac:dyDescent="0.3">
      <c r="A105" s="1948"/>
      <c r="B105" s="2073"/>
      <c r="C105" s="1955"/>
      <c r="D105" s="1955"/>
      <c r="E105" s="1955"/>
      <c r="F105" s="1955"/>
      <c r="G105" s="1955"/>
      <c r="H105" s="1955"/>
      <c r="I105" s="1955"/>
      <c r="J105" s="4318" t="s">
        <v>13</v>
      </c>
      <c r="K105" s="4318"/>
      <c r="L105" s="2030" t="s">
        <v>1629</v>
      </c>
      <c r="M105" s="4318" t="s">
        <v>2120</v>
      </c>
      <c r="N105" s="4318"/>
      <c r="O105" s="4318"/>
    </row>
    <row r="106" spans="1:15" s="1953" customFormat="1" x14ac:dyDescent="0.3">
      <c r="A106" s="2031"/>
      <c r="B106" s="2076"/>
      <c r="C106" s="2076"/>
      <c r="D106" s="2076"/>
      <c r="E106" s="2076"/>
      <c r="F106" s="4317" t="s">
        <v>1904</v>
      </c>
      <c r="G106" s="4317"/>
      <c r="H106" s="2077" t="s">
        <v>1906</v>
      </c>
      <c r="I106" s="2078"/>
      <c r="J106" s="4318" t="s">
        <v>1812</v>
      </c>
      <c r="K106" s="4318"/>
      <c r="L106" s="2030" t="s">
        <v>1629</v>
      </c>
      <c r="M106" s="4318" t="s">
        <v>2120</v>
      </c>
      <c r="N106" s="4318"/>
      <c r="O106" s="4318"/>
    </row>
    <row r="107" spans="1:15" ht="17.399999999999999" x14ac:dyDescent="0.3">
      <c r="A107" s="2031"/>
      <c r="B107" s="1960"/>
      <c r="C107" s="1960"/>
      <c r="D107" s="1960"/>
      <c r="E107" s="2079"/>
      <c r="F107" s="2079"/>
      <c r="G107" s="2079"/>
      <c r="H107" s="2080"/>
      <c r="I107" s="1960"/>
    </row>
    <row r="108" spans="1:15" s="1961" customFormat="1" x14ac:dyDescent="0.3">
      <c r="A108" s="2031"/>
      <c r="C108" s="2062"/>
      <c r="D108" s="2062"/>
      <c r="H108" s="1967"/>
    </row>
    <row r="109" spans="1:15" s="1961" customFormat="1" ht="18.75" customHeight="1" x14ac:dyDescent="0.3">
      <c r="A109" s="2031"/>
      <c r="C109" s="2062"/>
      <c r="D109" s="2062"/>
      <c r="F109" s="1973"/>
      <c r="G109" s="1973"/>
      <c r="H109" s="1967"/>
    </row>
    <row r="110" spans="1:15" s="1961" customFormat="1" x14ac:dyDescent="0.3">
      <c r="A110" s="2031"/>
      <c r="C110" s="2062"/>
      <c r="D110" s="2062"/>
      <c r="F110" s="1973"/>
      <c r="G110" s="1973"/>
      <c r="I110" s="1967"/>
      <c r="K110" s="1996"/>
      <c r="L110" s="1996"/>
    </row>
    <row r="111" spans="1:15" s="1961" customFormat="1" x14ac:dyDescent="0.3">
      <c r="A111" s="2031"/>
      <c r="C111" s="2062"/>
      <c r="D111" s="2062"/>
      <c r="E111" s="2081"/>
      <c r="F111" s="1973"/>
      <c r="G111" s="1973"/>
      <c r="H111" s="1967"/>
      <c r="I111" s="1967"/>
    </row>
    <row r="112" spans="1:15" s="1961" customFormat="1" x14ac:dyDescent="0.3">
      <c r="A112" s="2031"/>
      <c r="C112" s="2062"/>
      <c r="D112" s="2062"/>
      <c r="F112" s="1967"/>
      <c r="G112" s="1967"/>
      <c r="H112" s="1967"/>
      <c r="I112" s="1967"/>
    </row>
    <row r="113" spans="1:9" s="1961" customFormat="1" x14ac:dyDescent="0.3">
      <c r="A113" s="2031"/>
      <c r="C113" s="2062"/>
      <c r="D113" s="2062"/>
      <c r="F113" s="1973"/>
      <c r="G113" s="1973"/>
      <c r="H113" s="1967"/>
      <c r="I113" s="1967"/>
    </row>
    <row r="114" spans="1:9" s="1961" customFormat="1" x14ac:dyDescent="0.3">
      <c r="A114" s="2031"/>
      <c r="B114" s="2081"/>
      <c r="C114" s="2062"/>
      <c r="D114" s="2062"/>
      <c r="F114" s="1973"/>
      <c r="G114" s="1973"/>
      <c r="H114" s="1967"/>
      <c r="I114" s="1967"/>
    </row>
    <row r="115" spans="1:9" s="1961" customFormat="1" x14ac:dyDescent="0.3">
      <c r="A115" s="2031"/>
      <c r="C115" s="2062"/>
      <c r="D115" s="2062"/>
      <c r="E115" s="2081"/>
      <c r="F115" s="1973"/>
      <c r="G115" s="1973"/>
      <c r="H115" s="1967"/>
      <c r="I115" s="1967"/>
    </row>
    <row r="116" spans="1:9" s="1961" customFormat="1" x14ac:dyDescent="0.3">
      <c r="A116" s="2031"/>
      <c r="C116" s="2062"/>
      <c r="D116" s="2062"/>
      <c r="F116" s="1967"/>
      <c r="G116" s="1967"/>
      <c r="H116" s="1967"/>
      <c r="I116" s="1967"/>
    </row>
    <row r="117" spans="1:9" s="1961" customFormat="1" x14ac:dyDescent="0.3">
      <c r="A117" s="2031"/>
      <c r="C117" s="2062"/>
      <c r="D117" s="2062"/>
      <c r="F117" s="1973"/>
      <c r="G117" s="1973"/>
      <c r="H117" s="1967"/>
      <c r="I117" s="1967"/>
    </row>
    <row r="118" spans="1:9" s="1961" customFormat="1" x14ac:dyDescent="0.3">
      <c r="A118" s="2031"/>
      <c r="B118" s="2081"/>
      <c r="C118" s="2062"/>
      <c r="D118" s="2062"/>
      <c r="F118" s="1973"/>
      <c r="G118" s="1973"/>
      <c r="H118" s="1967"/>
      <c r="I118" s="1967"/>
    </row>
    <row r="119" spans="1:9" s="1961" customFormat="1" x14ac:dyDescent="0.3">
      <c r="A119" s="2031"/>
      <c r="C119" s="2062"/>
      <c r="D119" s="2062"/>
      <c r="E119" s="2081"/>
      <c r="F119" s="1973"/>
      <c r="G119" s="1973"/>
      <c r="H119" s="1967"/>
      <c r="I119" s="1967"/>
    </row>
    <row r="120" spans="1:9" s="1961" customFormat="1" x14ac:dyDescent="0.3">
      <c r="A120" s="2031"/>
      <c r="C120" s="2062"/>
      <c r="D120" s="2062"/>
      <c r="F120" s="1967"/>
      <c r="G120" s="1967"/>
      <c r="H120" s="1967"/>
      <c r="I120" s="1967"/>
    </row>
    <row r="121" spans="1:9" s="1961" customFormat="1" x14ac:dyDescent="0.3">
      <c r="A121" s="2031"/>
      <c r="C121" s="2062"/>
      <c r="D121" s="2062"/>
      <c r="F121" s="1973"/>
      <c r="G121" s="1973"/>
      <c r="H121" s="1967"/>
      <c r="I121" s="1967"/>
    </row>
    <row r="122" spans="1:9" s="1961" customFormat="1" x14ac:dyDescent="0.3">
      <c r="A122" s="2031"/>
      <c r="B122" s="2081"/>
      <c r="C122" s="2062"/>
      <c r="D122" s="2062"/>
      <c r="F122" s="1973"/>
      <c r="G122" s="1973"/>
      <c r="H122" s="1967"/>
      <c r="I122" s="1967"/>
    </row>
    <row r="123" spans="1:9" s="1961" customFormat="1" x14ac:dyDescent="0.3">
      <c r="A123" s="2031"/>
      <c r="C123" s="2062"/>
      <c r="D123" s="2062"/>
      <c r="E123" s="2081"/>
      <c r="F123" s="1973"/>
      <c r="G123" s="1973"/>
      <c r="H123" s="1967"/>
      <c r="I123" s="1967"/>
    </row>
    <row r="124" spans="1:9" s="1961" customFormat="1" x14ac:dyDescent="0.3">
      <c r="A124" s="2031"/>
      <c r="C124" s="2062"/>
      <c r="D124" s="2062"/>
      <c r="F124" s="1967"/>
      <c r="G124" s="1967"/>
      <c r="H124" s="1967"/>
      <c r="I124" s="1967"/>
    </row>
    <row r="125" spans="1:9" s="1961" customFormat="1" x14ac:dyDescent="0.3">
      <c r="A125" s="2031"/>
      <c r="C125" s="2062"/>
      <c r="D125" s="2062"/>
      <c r="F125" s="1973"/>
      <c r="G125" s="1973"/>
      <c r="H125" s="1967"/>
      <c r="I125" s="1967"/>
    </row>
    <row r="126" spans="1:9" s="1961" customFormat="1" x14ac:dyDescent="0.3">
      <c r="A126" s="2031"/>
      <c r="B126" s="2081"/>
      <c r="C126" s="2062"/>
      <c r="D126" s="2062"/>
      <c r="F126" s="1973"/>
      <c r="G126" s="1973"/>
      <c r="H126" s="1967"/>
      <c r="I126" s="1967"/>
    </row>
    <row r="127" spans="1:9" s="1961" customFormat="1" x14ac:dyDescent="0.3">
      <c r="A127" s="2031"/>
      <c r="C127" s="2062"/>
      <c r="D127" s="2062"/>
      <c r="E127" s="2081"/>
      <c r="F127" s="1973"/>
      <c r="G127" s="1973"/>
      <c r="H127" s="1967"/>
      <c r="I127" s="1967"/>
    </row>
    <row r="128" spans="1:9" s="1961" customFormat="1" x14ac:dyDescent="0.3">
      <c r="A128" s="2031"/>
      <c r="C128" s="2062"/>
      <c r="D128" s="2062"/>
      <c r="F128" s="1967"/>
      <c r="G128" s="1967"/>
      <c r="H128" s="1967"/>
      <c r="I128" s="1967"/>
    </row>
    <row r="129" spans="1:9" s="1961" customFormat="1" x14ac:dyDescent="0.3">
      <c r="A129" s="2031"/>
      <c r="C129" s="2062"/>
      <c r="D129" s="2062"/>
      <c r="F129" s="1973"/>
      <c r="G129" s="1973"/>
      <c r="H129" s="1967"/>
      <c r="I129" s="1967"/>
    </row>
    <row r="130" spans="1:9" s="1961" customFormat="1" x14ac:dyDescent="0.3">
      <c r="A130" s="2031"/>
      <c r="B130" s="2081"/>
      <c r="C130" s="2062"/>
      <c r="D130" s="2062"/>
      <c r="F130" s="1973"/>
      <c r="G130" s="1973"/>
      <c r="H130" s="1967"/>
      <c r="I130" s="1967"/>
    </row>
    <row r="131" spans="1:9" s="1961" customFormat="1" x14ac:dyDescent="0.3">
      <c r="A131" s="2031"/>
      <c r="C131" s="2062"/>
      <c r="D131" s="2062"/>
      <c r="E131" s="2081"/>
      <c r="F131" s="1973"/>
      <c r="G131" s="1973"/>
      <c r="H131" s="1967"/>
      <c r="I131" s="1967"/>
    </row>
    <row r="132" spans="1:9" s="1961" customFormat="1" x14ac:dyDescent="0.3">
      <c r="A132" s="2031"/>
      <c r="C132" s="2062"/>
      <c r="D132" s="2062"/>
      <c r="F132" s="1967"/>
      <c r="G132" s="1967"/>
      <c r="H132" s="1967"/>
      <c r="I132" s="1967"/>
    </row>
    <row r="133" spans="1:9" s="1961" customFormat="1" x14ac:dyDescent="0.3">
      <c r="A133" s="2031"/>
      <c r="C133" s="2062"/>
      <c r="D133" s="2062"/>
      <c r="F133" s="1973"/>
      <c r="G133" s="1973"/>
      <c r="H133" s="1967"/>
      <c r="I133" s="1967"/>
    </row>
    <row r="134" spans="1:9" s="1961" customFormat="1" x14ac:dyDescent="0.3">
      <c r="A134" s="2031"/>
      <c r="B134" s="2081"/>
      <c r="C134" s="2062"/>
      <c r="D134" s="2062"/>
      <c r="F134" s="1973"/>
      <c r="G134" s="1973"/>
      <c r="H134" s="1967"/>
      <c r="I134" s="1967"/>
    </row>
    <row r="135" spans="1:9" s="1961" customFormat="1" x14ac:dyDescent="0.3">
      <c r="A135" s="2031"/>
      <c r="C135" s="2062"/>
      <c r="D135" s="2062"/>
      <c r="E135" s="2081"/>
      <c r="F135" s="1973"/>
      <c r="G135" s="1973"/>
      <c r="H135" s="1967"/>
      <c r="I135" s="1967"/>
    </row>
    <row r="136" spans="1:9" s="1961" customFormat="1" x14ac:dyDescent="0.3">
      <c r="A136" s="2031"/>
      <c r="C136" s="2062"/>
      <c r="D136" s="2062"/>
      <c r="F136" s="1967"/>
      <c r="G136" s="1967"/>
      <c r="H136" s="1967"/>
      <c r="I136" s="1967"/>
    </row>
    <row r="137" spans="1:9" s="1961" customFormat="1" x14ac:dyDescent="0.3">
      <c r="A137" s="2031"/>
      <c r="C137" s="2062"/>
      <c r="D137" s="2062"/>
      <c r="F137" s="1973"/>
      <c r="G137" s="1973"/>
      <c r="H137" s="1967"/>
      <c r="I137" s="1967"/>
    </row>
    <row r="138" spans="1:9" s="1961" customFormat="1" x14ac:dyDescent="0.3">
      <c r="A138" s="2031"/>
      <c r="B138" s="2081"/>
      <c r="C138" s="2062"/>
      <c r="D138" s="2062"/>
      <c r="F138" s="1973"/>
      <c r="G138" s="1973"/>
      <c r="H138" s="1967"/>
      <c r="I138" s="1967"/>
    </row>
    <row r="139" spans="1:9" s="1961" customFormat="1" x14ac:dyDescent="0.3">
      <c r="A139" s="2031"/>
      <c r="C139" s="2062"/>
      <c r="D139" s="2062"/>
      <c r="E139" s="2081"/>
      <c r="F139" s="1973"/>
      <c r="G139" s="1973"/>
      <c r="H139" s="1967"/>
      <c r="I139" s="1967"/>
    </row>
    <row r="140" spans="1:9" s="1961" customFormat="1" x14ac:dyDescent="0.3">
      <c r="A140" s="2031"/>
      <c r="C140" s="2062"/>
      <c r="D140" s="2062"/>
      <c r="F140" s="1967"/>
      <c r="G140" s="1967"/>
      <c r="H140" s="1967"/>
      <c r="I140" s="1967"/>
    </row>
    <row r="141" spans="1:9" s="1961" customFormat="1" x14ac:dyDescent="0.3">
      <c r="A141" s="2031"/>
      <c r="C141" s="2062"/>
      <c r="D141" s="2062"/>
      <c r="F141" s="1973"/>
      <c r="G141" s="1973"/>
      <c r="H141" s="1967"/>
      <c r="I141" s="1967"/>
    </row>
    <row r="142" spans="1:9" s="1961" customFormat="1" x14ac:dyDescent="0.3">
      <c r="A142" s="2031"/>
      <c r="B142" s="2081"/>
      <c r="C142" s="2062"/>
      <c r="D142" s="2062"/>
      <c r="F142" s="1973"/>
      <c r="G142" s="1973"/>
      <c r="H142" s="1967"/>
      <c r="I142" s="1967"/>
    </row>
    <row r="143" spans="1:9" s="1961" customFormat="1" x14ac:dyDescent="0.3">
      <c r="A143" s="2031"/>
      <c r="C143" s="2062"/>
      <c r="D143" s="2062"/>
      <c r="E143" s="2081"/>
      <c r="F143" s="1973"/>
      <c r="G143" s="1973"/>
      <c r="H143" s="1967"/>
      <c r="I143" s="1967"/>
    </row>
    <row r="144" spans="1:9" s="1961" customFormat="1" x14ac:dyDescent="0.3">
      <c r="A144" s="2031"/>
      <c r="C144" s="2062"/>
      <c r="D144" s="2062"/>
      <c r="F144" s="1967"/>
      <c r="G144" s="1967"/>
      <c r="H144" s="1967"/>
      <c r="I144" s="1967"/>
    </row>
    <row r="145" spans="1:9" s="1961" customFormat="1" x14ac:dyDescent="0.3">
      <c r="A145" s="2031"/>
      <c r="C145" s="2062"/>
      <c r="D145" s="2062"/>
      <c r="F145" s="1973"/>
      <c r="G145" s="1973"/>
      <c r="H145" s="1967"/>
      <c r="I145" s="1967"/>
    </row>
    <row r="146" spans="1:9" s="1961" customFormat="1" x14ac:dyDescent="0.3">
      <c r="A146" s="2031"/>
      <c r="B146" s="2081"/>
      <c r="C146" s="2062"/>
      <c r="D146" s="2062"/>
      <c r="F146" s="1973"/>
      <c r="G146" s="1973"/>
      <c r="H146" s="1967"/>
      <c r="I146" s="1967"/>
    </row>
    <row r="147" spans="1:9" s="1961" customFormat="1" x14ac:dyDescent="0.3">
      <c r="A147" s="2031"/>
      <c r="C147" s="2062"/>
      <c r="D147" s="2062"/>
      <c r="E147" s="2081"/>
      <c r="F147" s="1973"/>
      <c r="G147" s="1973"/>
      <c r="H147" s="1967"/>
      <c r="I147" s="1967"/>
    </row>
    <row r="148" spans="1:9" s="1961" customFormat="1" x14ac:dyDescent="0.3">
      <c r="A148" s="2031"/>
      <c r="C148" s="2062"/>
      <c r="D148" s="2062"/>
      <c r="F148" s="1967"/>
      <c r="G148" s="1967"/>
      <c r="H148" s="1967"/>
      <c r="I148" s="1967"/>
    </row>
    <row r="149" spans="1:9" s="1961" customFormat="1" x14ac:dyDescent="0.3">
      <c r="A149" s="2031"/>
      <c r="C149" s="2062"/>
      <c r="D149" s="2062"/>
      <c r="F149" s="1973"/>
      <c r="G149" s="1973"/>
      <c r="H149" s="1967"/>
      <c r="I149" s="1967"/>
    </row>
    <row r="150" spans="1:9" s="1961" customFormat="1" x14ac:dyDescent="0.3">
      <c r="A150" s="2031"/>
      <c r="B150" s="2081"/>
      <c r="C150" s="2062"/>
      <c r="D150" s="2062"/>
      <c r="F150" s="1973"/>
      <c r="G150" s="1973"/>
      <c r="H150" s="1967"/>
      <c r="I150" s="1967"/>
    </row>
    <row r="151" spans="1:9" s="1961" customFormat="1" x14ac:dyDescent="0.3">
      <c r="A151" s="2031"/>
      <c r="C151" s="2062"/>
      <c r="D151" s="2062"/>
      <c r="E151" s="2081"/>
      <c r="F151" s="1973"/>
      <c r="G151" s="1973"/>
      <c r="H151" s="1967"/>
      <c r="I151" s="1967"/>
    </row>
    <row r="152" spans="1:9" s="1961" customFormat="1" x14ac:dyDescent="0.3">
      <c r="A152" s="2031"/>
      <c r="C152" s="2062"/>
      <c r="D152" s="2062"/>
      <c r="E152" s="2082"/>
      <c r="F152" s="2083"/>
      <c r="G152" s="2083"/>
      <c r="H152" s="1967"/>
      <c r="I152" s="1967"/>
    </row>
    <row r="153" spans="1:9" s="1961" customFormat="1" x14ac:dyDescent="0.3">
      <c r="A153" s="2031"/>
      <c r="C153" s="2062"/>
      <c r="D153" s="2062"/>
      <c r="E153" s="2082"/>
      <c r="F153" s="2083"/>
      <c r="G153" s="2083"/>
      <c r="H153" s="1967"/>
      <c r="I153" s="1967"/>
    </row>
    <row r="154" spans="1:9" s="1961" customFormat="1" ht="17.399999999999999" x14ac:dyDescent="0.3">
      <c r="A154" s="2031"/>
      <c r="E154" s="2082"/>
      <c r="F154" s="2084"/>
      <c r="G154" s="2084"/>
      <c r="H154" s="2084"/>
      <c r="I154" s="2084"/>
    </row>
    <row r="155" spans="1:9" s="1961" customFormat="1" x14ac:dyDescent="0.3">
      <c r="A155" s="2031"/>
      <c r="F155" s="1996"/>
      <c r="G155" s="1996"/>
      <c r="H155" s="1996"/>
      <c r="I155" s="2085"/>
    </row>
    <row r="156" spans="1:9" s="1961" customFormat="1" x14ac:dyDescent="0.3">
      <c r="A156" s="1948"/>
      <c r="B156" s="1949"/>
      <c r="C156" s="1949"/>
      <c r="D156" s="1949"/>
      <c r="E156" s="1949"/>
      <c r="F156" s="1950"/>
      <c r="G156" s="1950"/>
      <c r="H156" s="1950"/>
      <c r="I156" s="1952"/>
    </row>
    <row r="157" spans="1:9" s="1961" customFormat="1" x14ac:dyDescent="0.3">
      <c r="A157" s="1948"/>
      <c r="B157" s="1949"/>
      <c r="C157" s="1949"/>
      <c r="D157" s="1949"/>
      <c r="E157" s="1949"/>
      <c r="F157" s="1950"/>
      <c r="G157" s="1950"/>
      <c r="H157" s="1950"/>
      <c r="I157" s="1952"/>
    </row>
    <row r="158" spans="1:9" x14ac:dyDescent="0.3">
      <c r="F158" s="1950"/>
      <c r="G158" s="1950"/>
      <c r="H158" s="1950"/>
      <c r="I158" s="1952"/>
    </row>
    <row r="159" spans="1:9" x14ac:dyDescent="0.3">
      <c r="F159" s="1950"/>
      <c r="G159" s="1950"/>
      <c r="H159" s="1950"/>
      <c r="I159" s="1952"/>
    </row>
    <row r="160" spans="1:9" x14ac:dyDescent="0.3">
      <c r="F160" s="1950"/>
      <c r="G160" s="1950"/>
      <c r="H160" s="1950"/>
      <c r="I160" s="1952"/>
    </row>
    <row r="161" spans="1:1" ht="13.8" x14ac:dyDescent="0.25">
      <c r="A161" s="1949"/>
    </row>
    <row r="162" spans="1:1" ht="13.8" x14ac:dyDescent="0.25">
      <c r="A162" s="1949"/>
    </row>
    <row r="163" spans="1:1" ht="13.8" x14ac:dyDescent="0.25">
      <c r="A163" s="1949"/>
    </row>
    <row r="164" spans="1:1" ht="13.8" x14ac:dyDescent="0.25">
      <c r="A164" s="1949"/>
    </row>
    <row r="165" spans="1:1" ht="13.8" x14ac:dyDescent="0.25">
      <c r="A165" s="1949"/>
    </row>
    <row r="166" spans="1:1" ht="13.8" x14ac:dyDescent="0.25">
      <c r="A166" s="1949"/>
    </row>
    <row r="167" spans="1:1" ht="13.8" x14ac:dyDescent="0.25">
      <c r="A167" s="1949"/>
    </row>
    <row r="168" spans="1:1" ht="45" customHeight="1" x14ac:dyDescent="0.25">
      <c r="A168" s="1949"/>
    </row>
    <row r="169" spans="1:1" ht="13.8" x14ac:dyDescent="0.25">
      <c r="A169" s="1949"/>
    </row>
    <row r="170" spans="1:1" ht="13.8" x14ac:dyDescent="0.25">
      <c r="A170" s="1949"/>
    </row>
    <row r="171" spans="1:1" ht="13.8" x14ac:dyDescent="0.25">
      <c r="A171" s="1949"/>
    </row>
    <row r="172" spans="1:1" ht="13.8" x14ac:dyDescent="0.25">
      <c r="A172" s="1949"/>
    </row>
    <row r="173" spans="1:1" ht="13.8" x14ac:dyDescent="0.25">
      <c r="A173" s="1949"/>
    </row>
    <row r="174" spans="1:1" ht="13.8" x14ac:dyDescent="0.25">
      <c r="A174" s="1949"/>
    </row>
    <row r="175" spans="1:1" ht="13.8" x14ac:dyDescent="0.25">
      <c r="A175" s="1949"/>
    </row>
    <row r="176" spans="1:1" ht="13.8" x14ac:dyDescent="0.25">
      <c r="A176" s="1949"/>
    </row>
    <row r="177" spans="1:13" ht="13.8" x14ac:dyDescent="0.25">
      <c r="A177" s="1949"/>
    </row>
    <row r="178" spans="1:13" ht="13.8" x14ac:dyDescent="0.25">
      <c r="A178" s="1949"/>
    </row>
    <row r="179" spans="1:13" ht="13.8" x14ac:dyDescent="0.25">
      <c r="A179" s="1949"/>
      <c r="L179" s="2086"/>
    </row>
    <row r="180" spans="1:13" ht="13.8" x14ac:dyDescent="0.25">
      <c r="A180" s="1949"/>
    </row>
    <row r="181" spans="1:13" ht="13.8" x14ac:dyDescent="0.25">
      <c r="A181" s="1949"/>
      <c r="L181" s="1953"/>
    </row>
    <row r="182" spans="1:13" ht="13.8" x14ac:dyDescent="0.25">
      <c r="A182" s="1949"/>
      <c r="L182" s="1953"/>
    </row>
    <row r="183" spans="1:13" ht="13.8" x14ac:dyDescent="0.25">
      <c r="A183" s="1949"/>
      <c r="L183" s="1953"/>
    </row>
    <row r="184" spans="1:13" ht="13.8" x14ac:dyDescent="0.25">
      <c r="A184" s="1949"/>
      <c r="L184" s="1953"/>
    </row>
    <row r="185" spans="1:13" ht="13.8" x14ac:dyDescent="0.25">
      <c r="A185" s="1949"/>
      <c r="L185" s="2007"/>
    </row>
    <row r="186" spans="1:13" ht="13.8" x14ac:dyDescent="0.25">
      <c r="A186" s="1949"/>
      <c r="L186" s="1953"/>
    </row>
    <row r="187" spans="1:13" ht="13.8" x14ac:dyDescent="0.25">
      <c r="A187" s="1949"/>
    </row>
    <row r="188" spans="1:13" ht="13.8" x14ac:dyDescent="0.25">
      <c r="A188" s="1949"/>
    </row>
    <row r="189" spans="1:13" ht="13.8" x14ac:dyDescent="0.25">
      <c r="A189" s="1949"/>
    </row>
    <row r="190" spans="1:13" ht="13.8" x14ac:dyDescent="0.25">
      <c r="A190" s="1949"/>
    </row>
    <row r="191" spans="1:13" ht="13.8" x14ac:dyDescent="0.25">
      <c r="A191" s="1949"/>
      <c r="L191" s="1953"/>
      <c r="M191" s="1953"/>
    </row>
    <row r="192" spans="1:13" ht="13.8" x14ac:dyDescent="0.25">
      <c r="A192" s="1949"/>
      <c r="L192" s="1953"/>
      <c r="M192" s="1953"/>
    </row>
    <row r="193" spans="1:13" ht="13.8" x14ac:dyDescent="0.25">
      <c r="A193" s="1949"/>
      <c r="L193" s="2007"/>
      <c r="M193" s="1953"/>
    </row>
    <row r="194" spans="1:13" ht="13.8" x14ac:dyDescent="0.25">
      <c r="A194" s="1949"/>
      <c r="L194" s="1953"/>
      <c r="M194" s="1953"/>
    </row>
    <row r="195" spans="1:13" ht="13.8" x14ac:dyDescent="0.25">
      <c r="A195" s="1949"/>
      <c r="L195" s="1953"/>
      <c r="M195" s="1953"/>
    </row>
    <row r="196" spans="1:13" ht="13.8" x14ac:dyDescent="0.25">
      <c r="A196" s="1949"/>
    </row>
    <row r="197" spans="1:13" ht="13.8" x14ac:dyDescent="0.25">
      <c r="A197" s="1949"/>
    </row>
    <row r="198" spans="1:13" ht="13.8" x14ac:dyDescent="0.25">
      <c r="A198" s="1949"/>
    </row>
    <row r="199" spans="1:13" ht="13.8" x14ac:dyDescent="0.25">
      <c r="A199" s="1949"/>
    </row>
    <row r="200" spans="1:13" ht="13.8" x14ac:dyDescent="0.25">
      <c r="A200" s="1949"/>
    </row>
    <row r="201" spans="1:13" ht="13.8" x14ac:dyDescent="0.25">
      <c r="A201" s="1949"/>
    </row>
    <row r="202" spans="1:13" ht="13.8" x14ac:dyDescent="0.25">
      <c r="A202" s="1949"/>
    </row>
    <row r="203" spans="1:13" ht="13.8" x14ac:dyDescent="0.25">
      <c r="A203" s="1949"/>
    </row>
    <row r="205" spans="1:13" ht="13.8" x14ac:dyDescent="0.25">
      <c r="A205" s="1949"/>
    </row>
    <row r="206" spans="1:13" ht="13.8" x14ac:dyDescent="0.25">
      <c r="A206" s="1949"/>
      <c r="J206" s="1953"/>
      <c r="K206" s="2007"/>
      <c r="L206" s="2007"/>
    </row>
    <row r="207" spans="1:13" ht="13.8" x14ac:dyDescent="0.25">
      <c r="A207" s="1949"/>
      <c r="J207" s="1953"/>
      <c r="K207" s="1953"/>
    </row>
    <row r="208" spans="1:13" x14ac:dyDescent="0.3">
      <c r="J208" s="1953"/>
      <c r="K208" s="1953"/>
    </row>
    <row r="209" spans="1:11" ht="13.8" x14ac:dyDescent="0.25">
      <c r="A209" s="1949"/>
      <c r="J209" s="1953"/>
      <c r="K209" s="1953"/>
    </row>
    <row r="210" spans="1:11" ht="13.8" x14ac:dyDescent="0.25">
      <c r="A210" s="1949"/>
    </row>
    <row r="211" spans="1:11" ht="13.8" x14ac:dyDescent="0.25">
      <c r="A211" s="1949"/>
      <c r="J211" s="1955"/>
      <c r="K211" s="1955"/>
    </row>
    <row r="212" spans="1:11" ht="13.8" x14ac:dyDescent="0.25">
      <c r="A212" s="1949"/>
      <c r="J212" s="1959"/>
      <c r="K212" s="1959"/>
    </row>
    <row r="213" spans="1:11" ht="13.8" x14ac:dyDescent="0.25">
      <c r="A213" s="1949"/>
      <c r="J213" s="1953"/>
      <c r="K213" s="1953"/>
    </row>
    <row r="214" spans="1:11" ht="13.8" x14ac:dyDescent="0.25">
      <c r="A214" s="1949"/>
      <c r="J214" s="1953"/>
      <c r="K214" s="1953"/>
    </row>
    <row r="215" spans="1:11" ht="13.8" x14ac:dyDescent="0.25">
      <c r="A215" s="1949"/>
      <c r="J215" s="1953"/>
      <c r="K215" s="1953"/>
    </row>
    <row r="216" spans="1:11" ht="13.8" x14ac:dyDescent="0.25">
      <c r="A216" s="1949"/>
      <c r="J216" s="1953"/>
      <c r="K216" s="1953"/>
    </row>
    <row r="217" spans="1:11" ht="13.8" x14ac:dyDescent="0.25">
      <c r="A217" s="1949"/>
      <c r="J217" s="1953"/>
      <c r="K217" s="1953"/>
    </row>
    <row r="218" spans="1:11" ht="13.8" x14ac:dyDescent="0.25">
      <c r="A218" s="1949"/>
      <c r="J218" s="1953"/>
      <c r="K218" s="1953"/>
    </row>
    <row r="219" spans="1:11" ht="13.8" x14ac:dyDescent="0.25">
      <c r="A219" s="1949"/>
      <c r="J219" s="1953"/>
      <c r="K219" s="1953"/>
    </row>
    <row r="220" spans="1:11" ht="13.8" x14ac:dyDescent="0.25">
      <c r="A220" s="1949"/>
      <c r="J220" s="1953"/>
      <c r="K220" s="1953"/>
    </row>
    <row r="221" spans="1:11" ht="13.8" x14ac:dyDescent="0.25">
      <c r="A221" s="1949"/>
      <c r="J221" s="1953"/>
      <c r="K221" s="1953"/>
    </row>
    <row r="222" spans="1:11" ht="13.8" x14ac:dyDescent="0.25">
      <c r="A222" s="1949"/>
      <c r="J222" s="1953"/>
      <c r="K222" s="1953"/>
    </row>
    <row r="223" spans="1:11" ht="13.8" x14ac:dyDescent="0.25">
      <c r="A223" s="1949"/>
      <c r="J223" s="1953"/>
      <c r="K223" s="1953"/>
    </row>
    <row r="224" spans="1:11" ht="13.8" x14ac:dyDescent="0.25">
      <c r="A224" s="1949"/>
      <c r="J224" s="1953"/>
      <c r="K224" s="1953"/>
    </row>
    <row r="225" spans="1:11" ht="13.8" x14ac:dyDescent="0.25">
      <c r="A225" s="1949"/>
      <c r="J225" s="1953"/>
      <c r="K225" s="1953"/>
    </row>
    <row r="226" spans="1:11" ht="13.8" x14ac:dyDescent="0.25">
      <c r="A226" s="1949"/>
      <c r="J226" s="1953"/>
      <c r="K226" s="1953"/>
    </row>
    <row r="227" spans="1:11" ht="13.8" x14ac:dyDescent="0.25">
      <c r="A227" s="1949"/>
      <c r="J227" s="1953"/>
      <c r="K227" s="1953"/>
    </row>
    <row r="228" spans="1:11" ht="13.8" x14ac:dyDescent="0.25">
      <c r="A228" s="1949"/>
      <c r="J228" s="1953"/>
      <c r="K228" s="1953"/>
    </row>
    <row r="229" spans="1:11" ht="13.8" x14ac:dyDescent="0.25">
      <c r="A229" s="1949"/>
      <c r="J229" s="1953"/>
      <c r="K229" s="1953"/>
    </row>
    <row r="230" spans="1:11" ht="13.8" x14ac:dyDescent="0.25">
      <c r="A230" s="1949"/>
      <c r="J230" s="1953"/>
      <c r="K230" s="1953"/>
    </row>
    <row r="231" spans="1:11" ht="13.8" x14ac:dyDescent="0.25">
      <c r="A231" s="1949"/>
      <c r="J231" s="1953"/>
      <c r="K231" s="1953"/>
    </row>
    <row r="232" spans="1:11" ht="13.8" x14ac:dyDescent="0.25">
      <c r="A232" s="1949"/>
      <c r="J232" s="1953"/>
      <c r="K232" s="1953"/>
    </row>
    <row r="233" spans="1:11" ht="13.8" x14ac:dyDescent="0.25">
      <c r="A233" s="1949"/>
      <c r="J233" s="1953"/>
      <c r="K233" s="1953"/>
    </row>
    <row r="234" spans="1:11" ht="13.8" x14ac:dyDescent="0.25">
      <c r="A234" s="1949"/>
      <c r="J234" s="1953"/>
      <c r="K234" s="1953"/>
    </row>
    <row r="235" spans="1:11" ht="13.8" x14ac:dyDescent="0.25">
      <c r="A235" s="1949"/>
      <c r="J235" s="1953"/>
      <c r="K235" s="1953"/>
    </row>
    <row r="236" spans="1:11" ht="13.8" x14ac:dyDescent="0.25">
      <c r="A236" s="1949"/>
      <c r="J236" s="1953"/>
      <c r="K236" s="1953"/>
    </row>
    <row r="237" spans="1:11" ht="13.8" x14ac:dyDescent="0.25">
      <c r="A237" s="1949"/>
      <c r="J237" s="1953"/>
      <c r="K237" s="1953"/>
    </row>
    <row r="238" spans="1:11" x14ac:dyDescent="0.3">
      <c r="J238" s="1953"/>
      <c r="K238" s="1953"/>
    </row>
    <row r="239" spans="1:11" x14ac:dyDescent="0.3">
      <c r="J239" s="1953"/>
      <c r="K239" s="1953"/>
    </row>
  </sheetData>
  <mergeCells count="28">
    <mergeCell ref="M105:O105"/>
    <mergeCell ref="M106:O106"/>
    <mergeCell ref="M45:O45"/>
    <mergeCell ref="M46:O46"/>
    <mergeCell ref="M47:O47"/>
    <mergeCell ref="M104:O104"/>
    <mergeCell ref="E41:F41"/>
    <mergeCell ref="F106:G106"/>
    <mergeCell ref="J104:K104"/>
    <mergeCell ref="J105:K105"/>
    <mergeCell ref="J106:K106"/>
    <mergeCell ref="B52:F52"/>
    <mergeCell ref="E49:H49"/>
    <mergeCell ref="E50:H50"/>
    <mergeCell ref="C55:D55"/>
    <mergeCell ref="H53:I53"/>
    <mergeCell ref="E54:F54"/>
    <mergeCell ref="E55:G55"/>
    <mergeCell ref="B53:G53"/>
    <mergeCell ref="E56:G56"/>
    <mergeCell ref="H7:I7"/>
    <mergeCell ref="B7:E7"/>
    <mergeCell ref="E8:G8"/>
    <mergeCell ref="B1:H1"/>
    <mergeCell ref="B2:H2"/>
    <mergeCell ref="F7:G7"/>
    <mergeCell ref="B5:G5"/>
    <mergeCell ref="B3:G3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V108"/>
  <sheetViews>
    <sheetView zoomScaleNormal="100" workbookViewId="0">
      <selection activeCell="L93" sqref="L93"/>
    </sheetView>
  </sheetViews>
  <sheetFormatPr baseColWidth="10" defaultColWidth="11.44140625" defaultRowHeight="13.8" x14ac:dyDescent="0.25"/>
  <cols>
    <col min="1" max="1" width="3.44140625" style="210" customWidth="1"/>
    <col min="2" max="2" width="7.6640625" style="141" customWidth="1"/>
    <col min="3" max="3" width="7" style="189" customWidth="1"/>
    <col min="4" max="4" width="8.33203125" style="189" customWidth="1"/>
    <col min="5" max="5" width="10.109375" style="141" customWidth="1"/>
    <col min="6" max="7" width="11.5546875" style="141" customWidth="1"/>
    <col min="8" max="8" width="14" style="35" customWidth="1"/>
    <col min="9" max="9" width="12.88671875" style="141" customWidth="1"/>
    <col min="10" max="10" width="13.6640625" style="141" customWidth="1"/>
    <col min="11" max="11" width="13.44140625" style="141" customWidth="1"/>
    <col min="12" max="12" width="12" style="141" bestFit="1" customWidth="1"/>
    <col min="13" max="16384" width="11.44140625" style="141"/>
  </cols>
  <sheetData>
    <row r="1" spans="1:22" x14ac:dyDescent="0.25">
      <c r="A1" s="337"/>
      <c r="C1" s="336"/>
      <c r="D1" s="336"/>
    </row>
    <row r="2" spans="1:22" x14ac:dyDescent="0.25">
      <c r="A2" s="325"/>
      <c r="C2" s="324"/>
      <c r="D2" s="324"/>
    </row>
    <row r="3" spans="1:22" x14ac:dyDescent="0.25">
      <c r="A3" s="337"/>
      <c r="C3" s="336"/>
      <c r="D3" s="336"/>
    </row>
    <row r="4" spans="1:22" ht="15.6" x14ac:dyDescent="0.3">
      <c r="A4" s="337"/>
      <c r="B4" s="4364" t="s">
        <v>1683</v>
      </c>
      <c r="C4" s="4364"/>
      <c r="D4" s="4364"/>
      <c r="E4" s="4364"/>
      <c r="F4" s="4364"/>
      <c r="G4" s="4364"/>
      <c r="H4" s="4364"/>
      <c r="I4" s="4364"/>
      <c r="J4" s="2107"/>
      <c r="K4" s="2108"/>
      <c r="L4" s="2108"/>
    </row>
    <row r="5" spans="1:22" ht="20.399999999999999" x14ac:dyDescent="0.35">
      <c r="A5" s="421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</row>
    <row r="6" spans="1:22" ht="21" thickBot="1" x14ac:dyDescent="0.4">
      <c r="A6" s="337"/>
      <c r="B6" s="423" t="s">
        <v>1684</v>
      </c>
      <c r="C6" s="424"/>
      <c r="D6" s="424"/>
      <c r="E6" s="424"/>
      <c r="F6" s="424"/>
      <c r="G6" s="424"/>
      <c r="H6" s="401">
        <v>42064</v>
      </c>
      <c r="I6" s="385" t="s">
        <v>1592</v>
      </c>
      <c r="J6" s="385" t="s">
        <v>1591</v>
      </c>
      <c r="K6" s="3"/>
      <c r="L6" s="3"/>
    </row>
    <row r="7" spans="1:22" ht="21.6" thickTop="1" thickBot="1" x14ac:dyDescent="0.4">
      <c r="A7" s="337"/>
      <c r="B7" s="425" t="s">
        <v>1734</v>
      </c>
      <c r="C7" s="426"/>
      <c r="D7" s="426"/>
      <c r="E7" s="426"/>
      <c r="F7" s="426"/>
      <c r="G7" s="426"/>
      <c r="H7" s="401">
        <v>42064</v>
      </c>
      <c r="I7" s="4345"/>
      <c r="J7" s="4346"/>
      <c r="K7" s="375"/>
      <c r="L7" s="375"/>
    </row>
    <row r="8" spans="1:22" ht="16.8" thickTop="1" thickBot="1" x14ac:dyDescent="0.35">
      <c r="B8" s="2"/>
      <c r="C8" s="398"/>
      <c r="D8" s="398"/>
      <c r="E8" s="4347" t="s">
        <v>1729</v>
      </c>
      <c r="F8" s="4348"/>
      <c r="G8" s="4348"/>
      <c r="H8" s="4349"/>
      <c r="I8" s="320" t="s">
        <v>1592</v>
      </c>
      <c r="J8" s="320" t="s">
        <v>1591</v>
      </c>
      <c r="K8" s="3"/>
      <c r="L8" s="3"/>
      <c r="N8" s="60"/>
      <c r="O8" s="7"/>
      <c r="P8" s="136"/>
      <c r="Q8" s="136"/>
      <c r="R8" s="138"/>
      <c r="S8" s="138"/>
      <c r="T8" s="64"/>
      <c r="U8" s="139"/>
      <c r="V8" s="139"/>
    </row>
    <row r="9" spans="1:22" ht="16.5" customHeight="1" thickTop="1" x14ac:dyDescent="0.3">
      <c r="B9" s="319" t="s">
        <v>1590</v>
      </c>
      <c r="C9" s="318" t="s">
        <v>1589</v>
      </c>
      <c r="D9" s="318" t="s">
        <v>1589</v>
      </c>
      <c r="E9" s="451"/>
      <c r="F9" s="451"/>
      <c r="G9" s="451"/>
      <c r="H9" s="451"/>
      <c r="I9" s="452" t="s">
        <v>3</v>
      </c>
      <c r="J9" s="452" t="s">
        <v>3</v>
      </c>
      <c r="N9" s="210"/>
      <c r="P9" s="189"/>
      <c r="Q9" s="189"/>
      <c r="T9" s="35"/>
    </row>
    <row r="10" spans="1:22" ht="15" customHeight="1" x14ac:dyDescent="0.3">
      <c r="B10" s="422" t="s">
        <v>1588</v>
      </c>
      <c r="C10" s="317" t="s">
        <v>1587</v>
      </c>
      <c r="D10" s="317" t="s">
        <v>1587</v>
      </c>
      <c r="E10" s="4343" t="s">
        <v>1733</v>
      </c>
      <c r="F10" s="4343"/>
      <c r="G10" s="4343"/>
      <c r="H10" s="4343"/>
      <c r="I10" s="316" t="s">
        <v>279</v>
      </c>
      <c r="J10" s="316" t="s">
        <v>279</v>
      </c>
      <c r="N10" s="210"/>
      <c r="P10" s="189"/>
      <c r="Q10" s="189"/>
      <c r="T10" s="35"/>
    </row>
    <row r="11" spans="1:22" ht="15.75" customHeight="1" thickBot="1" x14ac:dyDescent="0.3">
      <c r="B11" s="453"/>
      <c r="C11" s="446" t="s">
        <v>1586</v>
      </c>
      <c r="D11" s="446" t="s">
        <v>1584</v>
      </c>
      <c r="E11" s="4344" t="s">
        <v>2153</v>
      </c>
      <c r="F11" s="4344"/>
      <c r="G11" s="4344"/>
      <c r="H11" s="4344"/>
      <c r="I11" s="450" t="s">
        <v>1585</v>
      </c>
      <c r="J11" s="450" t="s">
        <v>1584</v>
      </c>
      <c r="L11" s="7"/>
      <c r="N11" s="210"/>
      <c r="P11" s="189"/>
      <c r="Q11" s="189"/>
      <c r="T11" s="35"/>
    </row>
    <row r="12" spans="1:22" x14ac:dyDescent="0.25">
      <c r="A12" s="210">
        <v>13</v>
      </c>
      <c r="B12" s="430"/>
      <c r="C12" s="431"/>
      <c r="D12" s="160"/>
      <c r="E12" s="432" t="s">
        <v>1685</v>
      </c>
      <c r="F12" s="4340">
        <f>IF(('Val-Dép'!AA13=""),"",'Val-Dép'!AD13)</f>
        <v>0</v>
      </c>
      <c r="G12" s="4340"/>
      <c r="H12" s="4340"/>
      <c r="I12" s="161"/>
      <c r="J12" s="433"/>
    </row>
    <row r="13" spans="1:22" x14ac:dyDescent="0.25">
      <c r="B13" s="434"/>
      <c r="C13" s="159"/>
      <c r="D13" s="158"/>
      <c r="E13" s="159" t="s">
        <v>1583</v>
      </c>
      <c r="F13" s="435" t="s">
        <v>1730</v>
      </c>
      <c r="G13" s="436">
        <f>IF(('Val-Dép'!AA13=""),"",VLOOKUP('Val-Dép'!$B$13,'Val-Dép'!AA13:AF13,3,FALSE))</f>
        <v>0</v>
      </c>
      <c r="H13" s="159"/>
      <c r="I13" s="437" t="str">
        <f>IF('Val-Dép'!I13="","",VLOOKUP('Val-Dép'!AA13,'Val-Dép'!AA13:AF13,6,FALSE))</f>
        <v/>
      </c>
      <c r="J13" s="438"/>
      <c r="K13" s="141" t="s">
        <v>1841</v>
      </c>
      <c r="L13" s="4338" t="s">
        <v>1838</v>
      </c>
      <c r="M13" s="4339"/>
      <c r="N13" s="4339"/>
      <c r="O13" s="4339"/>
    </row>
    <row r="14" spans="1:22" x14ac:dyDescent="0.25">
      <c r="B14" s="434"/>
      <c r="C14" s="158"/>
      <c r="D14" s="159"/>
      <c r="E14" s="159" t="s">
        <v>1582</v>
      </c>
      <c r="F14" s="439" t="str">
        <f>'Val-Dép'!$C$13</f>
        <v>client01</v>
      </c>
      <c r="G14" s="439"/>
      <c r="H14" s="439"/>
      <c r="I14" s="159"/>
      <c r="J14" s="437" t="str">
        <f>IF(('Val-Dép'!I13=""),"",'Val-Dép'!Z13)</f>
        <v/>
      </c>
      <c r="K14" s="141" t="s">
        <v>1840</v>
      </c>
      <c r="L14" s="4341" t="s">
        <v>1839</v>
      </c>
      <c r="M14" s="4342"/>
      <c r="N14" s="4342"/>
      <c r="O14" s="4342"/>
    </row>
    <row r="15" spans="1:22" ht="14.4" thickBot="1" x14ac:dyDescent="0.3">
      <c r="A15" s="62"/>
      <c r="B15" s="442"/>
      <c r="C15" s="273"/>
      <c r="D15" s="273"/>
      <c r="E15" s="417" t="s">
        <v>1346</v>
      </c>
      <c r="F15" s="251" t="s">
        <v>1731</v>
      </c>
      <c r="G15" s="273" t="s">
        <v>1732</v>
      </c>
      <c r="H15" s="449">
        <f>IF(ISNA('Val-Dép'!I13=""),"",'Val-Dép'!J13)</f>
        <v>0</v>
      </c>
      <c r="I15" s="268"/>
      <c r="J15" s="443"/>
    </row>
    <row r="16" spans="1:22" x14ac:dyDescent="0.25">
      <c r="A16" s="210">
        <v>14</v>
      </c>
      <c r="B16" s="330"/>
      <c r="C16" s="164"/>
      <c r="D16" s="164"/>
      <c r="E16" s="444" t="s">
        <v>1685</v>
      </c>
      <c r="F16" s="4340">
        <f>IF(('Val-Dép'!AA14=""),"",'Val-Dép'!AD14)</f>
        <v>0</v>
      </c>
      <c r="G16" s="4340"/>
      <c r="H16" s="4340"/>
      <c r="I16" s="171"/>
      <c r="J16" s="445"/>
    </row>
    <row r="17" spans="1:13" x14ac:dyDescent="0.25">
      <c r="B17" s="434"/>
      <c r="C17" s="158"/>
      <c r="D17" s="158"/>
      <c r="E17" s="159" t="s">
        <v>1583</v>
      </c>
      <c r="F17" s="435" t="s">
        <v>1730</v>
      </c>
      <c r="G17" s="436">
        <f>IF(('Val-Dép'!AA14=""),"",VLOOKUP('Val-Dép'!B14,'Val-Dép'!AA14:AF14,3,FALSE))</f>
        <v>0</v>
      </c>
      <c r="H17" s="159"/>
      <c r="I17" s="437">
        <f>IF('Val-Dép'!I14="","",VLOOKUP('Val-Dép'!AA14,'Val-Dép'!AA14:AF14,6,FALSE))</f>
        <v>0</v>
      </c>
      <c r="J17" s="440"/>
      <c r="L17" s="141">
        <v>13</v>
      </c>
    </row>
    <row r="18" spans="1:13" x14ac:dyDescent="0.25">
      <c r="B18" s="441" t="str">
        <f>'Liv-Four-client'!E29</f>
        <v>C00022</v>
      </c>
      <c r="C18" s="158"/>
      <c r="D18" s="158"/>
      <c r="E18" s="159" t="s">
        <v>1582</v>
      </c>
      <c r="F18" s="439" t="str">
        <f>'Val-Dép'!C14</f>
        <v>client02</v>
      </c>
      <c r="G18" s="439"/>
      <c r="H18" s="439"/>
      <c r="I18" s="159"/>
      <c r="J18" s="437">
        <f>IF(('Val-Dép'!I14=""),"",'Val-Dép'!Z14)</f>
        <v>0</v>
      </c>
      <c r="L18" s="7">
        <v>14</v>
      </c>
    </row>
    <row r="19" spans="1:13" ht="14.4" thickBot="1" x14ac:dyDescent="0.3">
      <c r="A19" s="402"/>
      <c r="B19" s="442"/>
      <c r="C19" s="273"/>
      <c r="D19" s="273"/>
      <c r="E19" s="417" t="s">
        <v>1346</v>
      </c>
      <c r="F19" s="251" t="s">
        <v>1731</v>
      </c>
      <c r="G19" s="274" t="s">
        <v>1575</v>
      </c>
      <c r="H19" s="449">
        <f>IF(ISNA('Val-Dép'!I14=""),"",'Val-Dép'!J14)</f>
        <v>0</v>
      </c>
      <c r="I19" s="268"/>
      <c r="J19" s="443"/>
      <c r="L19" s="7">
        <v>15</v>
      </c>
    </row>
    <row r="20" spans="1:13" ht="14.4" thickTop="1" x14ac:dyDescent="0.25">
      <c r="A20" s="210">
        <v>15</v>
      </c>
      <c r="B20" s="330"/>
      <c r="C20" s="164"/>
      <c r="D20" s="164"/>
      <c r="E20" s="444" t="s">
        <v>1685</v>
      </c>
      <c r="F20" s="4340">
        <f>IF(('Val-Dép'!AA15=""),"",'Val-Dép'!AD15)</f>
        <v>0</v>
      </c>
      <c r="G20" s="4340"/>
      <c r="H20" s="4340"/>
      <c r="I20" s="171"/>
      <c r="J20" s="445"/>
      <c r="L20" s="7">
        <v>16</v>
      </c>
    </row>
    <row r="21" spans="1:13" x14ac:dyDescent="0.25">
      <c r="B21" s="434"/>
      <c r="C21" s="158">
        <v>550</v>
      </c>
      <c r="D21" s="158"/>
      <c r="E21" s="159" t="s">
        <v>1583</v>
      </c>
      <c r="F21" s="435" t="s">
        <v>1730</v>
      </c>
      <c r="G21" s="436">
        <f>IF(('Val-Dép'!AA15=""),"",VLOOKUP('Val-Dép'!B15,'Val-Dép'!AA15:AF15,3,FALSE))</f>
        <v>0</v>
      </c>
      <c r="H21" s="159"/>
      <c r="I21" s="437">
        <f>IF('Val-Dép'!I15="","",VLOOKUP('Val-Dép'!AA15,'Val-Dép'!AA15:AF15,6,FALSE))</f>
        <v>0</v>
      </c>
      <c r="J21" s="438"/>
      <c r="L21" s="7">
        <v>17</v>
      </c>
    </row>
    <row r="22" spans="1:13" x14ac:dyDescent="0.25">
      <c r="B22" s="441" t="str">
        <f>'Liv-Four-client'!E45</f>
        <v>C00033</v>
      </c>
      <c r="C22" s="158"/>
      <c r="D22" s="158">
        <v>400</v>
      </c>
      <c r="E22" s="159" t="s">
        <v>1354</v>
      </c>
      <c r="F22" s="439">
        <f>'Val-Dép'!C15</f>
        <v>0</v>
      </c>
      <c r="G22" s="439"/>
      <c r="H22" s="439"/>
      <c r="I22" s="159"/>
      <c r="J22" s="437">
        <f>IF(('Val-Dép'!I15=""),"",'Val-Dép'!Z15)</f>
        <v>0</v>
      </c>
      <c r="L22" s="7">
        <v>18</v>
      </c>
    </row>
    <row r="23" spans="1:13" ht="14.4" thickBot="1" x14ac:dyDescent="0.3">
      <c r="B23" s="442"/>
      <c r="C23" s="273"/>
      <c r="D23" s="273"/>
      <c r="E23" s="417" t="s">
        <v>1346</v>
      </c>
      <c r="F23" s="251" t="s">
        <v>1731</v>
      </c>
      <c r="G23" s="274" t="s">
        <v>1575</v>
      </c>
      <c r="H23" s="449">
        <f>IF(ISNA('Val-Dép'!I15=""),"",'Val-Dép'!J15)</f>
        <v>0</v>
      </c>
      <c r="I23" s="268"/>
      <c r="J23" s="443"/>
      <c r="L23" s="7">
        <v>19</v>
      </c>
    </row>
    <row r="24" spans="1:13" ht="14.4" thickTop="1" x14ac:dyDescent="0.25">
      <c r="A24" s="210">
        <v>16</v>
      </c>
      <c r="B24" s="330"/>
      <c r="C24" s="164"/>
      <c r="D24" s="164"/>
      <c r="E24" s="444" t="s">
        <v>1685</v>
      </c>
      <c r="F24" s="4340">
        <f>IF(('Val-Dép'!AA16=""),"",'Val-Dép'!AD16)</f>
        <v>0</v>
      </c>
      <c r="G24" s="4340"/>
      <c r="H24" s="4340"/>
      <c r="I24" s="171"/>
      <c r="J24" s="445"/>
      <c r="L24" s="7">
        <v>20</v>
      </c>
    </row>
    <row r="25" spans="1:13" x14ac:dyDescent="0.25">
      <c r="B25" s="434"/>
      <c r="C25" s="158"/>
      <c r="D25" s="158"/>
      <c r="E25" s="159" t="s">
        <v>1583</v>
      </c>
      <c r="F25" s="435" t="s">
        <v>1730</v>
      </c>
      <c r="G25" s="436">
        <f>IF(('Val-Dép'!AA16=""),"",VLOOKUP('Val-Dép'!B16,'Val-Dép'!AA16:AF16,3,FALSE))</f>
        <v>0</v>
      </c>
      <c r="H25" s="159"/>
      <c r="I25" s="437">
        <f>IF('Val-Dép'!I16="","",VLOOKUP('Val-Dép'!AA16,'Val-Dép'!AA16:AF16,6,FALSE))</f>
        <v>0</v>
      </c>
      <c r="J25" s="438"/>
      <c r="L25" s="7">
        <v>21</v>
      </c>
    </row>
    <row r="26" spans="1:13" x14ac:dyDescent="0.25">
      <c r="B26" s="441" t="str">
        <f>'Liv-Four-client'!E60</f>
        <v>C00044</v>
      </c>
      <c r="C26" s="158"/>
      <c r="D26" s="158"/>
      <c r="E26" s="159" t="s">
        <v>1582</v>
      </c>
      <c r="F26" s="439">
        <f>'Val-Dép'!C16</f>
        <v>0</v>
      </c>
      <c r="G26" s="439"/>
      <c r="H26" s="439"/>
      <c r="I26" s="159"/>
      <c r="J26" s="437">
        <f>IF(('Val-Dép'!I16=""),"",'Val-Dép'!Z16)</f>
        <v>0</v>
      </c>
      <c r="L26" s="7">
        <v>22</v>
      </c>
    </row>
    <row r="27" spans="1:13" ht="14.4" thickBot="1" x14ac:dyDescent="0.3">
      <c r="B27" s="442"/>
      <c r="C27" s="273"/>
      <c r="D27" s="273"/>
      <c r="E27" s="417" t="s">
        <v>1346</v>
      </c>
      <c r="F27" s="251" t="s">
        <v>1731</v>
      </c>
      <c r="G27" s="274" t="s">
        <v>1575</v>
      </c>
      <c r="H27" s="449">
        <f>IF(ISNA('Val-Dép'!I16=""),"",'Val-Dép'!J16)</f>
        <v>0</v>
      </c>
      <c r="I27" s="268"/>
      <c r="J27" s="443"/>
      <c r="L27" s="7">
        <v>23</v>
      </c>
    </row>
    <row r="28" spans="1:13" ht="14.4" thickTop="1" x14ac:dyDescent="0.25">
      <c r="A28" s="210">
        <v>17</v>
      </c>
      <c r="B28" s="330"/>
      <c r="C28" s="164"/>
      <c r="D28" s="164"/>
      <c r="E28" s="444" t="s">
        <v>1685</v>
      </c>
      <c r="F28" s="4340">
        <f>IF(('Val-Dép'!AA17=""),"",'Val-Dép'!AD17)</f>
        <v>0</v>
      </c>
      <c r="G28" s="4340"/>
      <c r="H28" s="4340"/>
      <c r="I28" s="171"/>
      <c r="J28" s="445"/>
      <c r="K28" s="479"/>
      <c r="L28" s="7"/>
      <c r="M28" s="7"/>
    </row>
    <row r="29" spans="1:13" x14ac:dyDescent="0.25">
      <c r="B29" s="434"/>
      <c r="C29" s="158">
        <v>550</v>
      </c>
      <c r="D29" s="158"/>
      <c r="E29" s="159" t="s">
        <v>1583</v>
      </c>
      <c r="F29" s="435" t="s">
        <v>1730</v>
      </c>
      <c r="G29" s="436">
        <f>IF(('Val-Dép'!AA17=""),"",VLOOKUP('Val-Dép'!B17,'Val-Dép'!AA17:AF17,3,FALSE))</f>
        <v>0</v>
      </c>
      <c r="H29" s="159"/>
      <c r="I29" s="437">
        <f>IF('Val-Dép'!I17="","",VLOOKUP('Val-Dép'!AA17,'Val-Dép'!AA17:AF17,6,FALSE))</f>
        <v>0</v>
      </c>
      <c r="J29" s="438"/>
      <c r="L29" s="3"/>
      <c r="M29" s="3"/>
    </row>
    <row r="30" spans="1:13" x14ac:dyDescent="0.25">
      <c r="B30" s="441" t="str">
        <f>'Liv-Four-client'!E80</f>
        <v>C00055</v>
      </c>
      <c r="C30" s="158"/>
      <c r="D30" s="158">
        <v>400</v>
      </c>
      <c r="E30" s="159" t="s">
        <v>1582</v>
      </c>
      <c r="F30" s="439">
        <f>'Val-Dép'!C17</f>
        <v>0</v>
      </c>
      <c r="G30" s="439"/>
      <c r="H30" s="439"/>
      <c r="I30" s="159"/>
      <c r="J30" s="437">
        <f>IF(('Val-Dép'!I17=""),"",'Val-Dép'!Z17)</f>
        <v>0</v>
      </c>
      <c r="L30" s="45"/>
      <c r="M30" s="45"/>
    </row>
    <row r="31" spans="1:13" ht="14.4" thickBot="1" x14ac:dyDescent="0.3">
      <c r="B31" s="442"/>
      <c r="C31" s="273"/>
      <c r="D31" s="273"/>
      <c r="E31" s="417" t="s">
        <v>1346</v>
      </c>
      <c r="F31" s="251" t="s">
        <v>1731</v>
      </c>
      <c r="G31" s="274" t="s">
        <v>1575</v>
      </c>
      <c r="H31" s="449">
        <f>IF(ISNA('Val-Dép'!I17=""),"",'Val-Dép'!J17)</f>
        <v>0</v>
      </c>
      <c r="I31" s="268"/>
      <c r="J31" s="443"/>
      <c r="L31" s="3"/>
      <c r="M31" s="3"/>
    </row>
    <row r="32" spans="1:13" ht="14.4" thickTop="1" x14ac:dyDescent="0.25">
      <c r="A32" s="210">
        <v>18</v>
      </c>
      <c r="B32" s="330"/>
      <c r="C32" s="164"/>
      <c r="D32" s="164"/>
      <c r="E32" s="444" t="s">
        <v>1685</v>
      </c>
      <c r="F32" s="4340">
        <f>IF(('Val-Dép'!AA18=""),"",'Val-Dép'!AD18)</f>
        <v>0</v>
      </c>
      <c r="G32" s="4340"/>
      <c r="H32" s="4340"/>
      <c r="I32" s="171"/>
      <c r="J32" s="445"/>
      <c r="L32" s="3"/>
      <c r="M32" s="3"/>
    </row>
    <row r="33" spans="1:14" x14ac:dyDescent="0.25">
      <c r="B33" s="434"/>
      <c r="C33" s="158">
        <v>550</v>
      </c>
      <c r="D33" s="158"/>
      <c r="E33" s="159" t="s">
        <v>1583</v>
      </c>
      <c r="F33" s="435" t="s">
        <v>1730</v>
      </c>
      <c r="G33" s="436">
        <f>IF(('Val-Dép'!AA18=""),"",VLOOKUP('Val-Dép'!B18,'Val-Dép'!AA18:AF18,3,FALSE))</f>
        <v>0</v>
      </c>
      <c r="H33" s="159"/>
      <c r="I33" s="437">
        <f>IF('Val-Dép'!I18="","",VLOOKUP('Val-Dép'!AA18,'Val-Dép'!AA18:AF18,6,FALSE))</f>
        <v>0</v>
      </c>
      <c r="J33" s="438"/>
      <c r="L33" s="3"/>
      <c r="M33" s="3"/>
    </row>
    <row r="34" spans="1:14" x14ac:dyDescent="0.25">
      <c r="B34" s="441" t="str">
        <f>'Liv-Four-client'!E101</f>
        <v>C0006</v>
      </c>
      <c r="C34" s="158"/>
      <c r="D34" s="158">
        <v>400</v>
      </c>
      <c r="E34" s="159" t="s">
        <v>1582</v>
      </c>
      <c r="F34" s="439">
        <f>'Val-Dép'!C18</f>
        <v>0</v>
      </c>
      <c r="G34" s="439"/>
      <c r="H34" s="439"/>
      <c r="I34" s="159"/>
      <c r="J34" s="437">
        <f>IF(('Val-Dép'!I18=""),"",'Val-Dép'!Z18)</f>
        <v>0</v>
      </c>
      <c r="L34" s="3"/>
      <c r="M34" s="3"/>
    </row>
    <row r="35" spans="1:14" ht="14.4" thickBot="1" x14ac:dyDescent="0.3">
      <c r="B35" s="442"/>
      <c r="C35" s="273"/>
      <c r="D35" s="273"/>
      <c r="E35" s="417" t="s">
        <v>1346</v>
      </c>
      <c r="F35" s="251" t="s">
        <v>1731</v>
      </c>
      <c r="G35" s="274" t="s">
        <v>1575</v>
      </c>
      <c r="H35" s="449">
        <f>IF(ISNA('Val-Dép'!I18=""),"",'Val-Dép'!J18)</f>
        <v>0</v>
      </c>
      <c r="I35" s="268"/>
      <c r="J35" s="443"/>
      <c r="L35" s="45"/>
      <c r="M35" s="45"/>
    </row>
    <row r="36" spans="1:14" ht="14.4" thickTop="1" x14ac:dyDescent="0.25">
      <c r="A36" s="210">
        <v>19</v>
      </c>
      <c r="B36" s="330"/>
      <c r="C36" s="164"/>
      <c r="D36" s="164" t="str">
        <f>'[3]Liv. comp.four-client.'!E51</f>
        <v>ccc</v>
      </c>
      <c r="E36" s="444" t="s">
        <v>1685</v>
      </c>
      <c r="F36" s="4340">
        <f>IF(('Val-Dép'!AA19=""),"",'Val-Dép'!AD19)</f>
        <v>0</v>
      </c>
      <c r="G36" s="4340"/>
      <c r="H36" s="4340"/>
      <c r="I36" s="171"/>
      <c r="J36" s="445"/>
      <c r="L36" s="3"/>
      <c r="M36" s="3"/>
    </row>
    <row r="37" spans="1:14" x14ac:dyDescent="0.25">
      <c r="B37" s="434"/>
      <c r="C37" s="158">
        <v>550</v>
      </c>
      <c r="D37" s="158"/>
      <c r="E37" s="159" t="s">
        <v>1583</v>
      </c>
      <c r="F37" s="435" t="s">
        <v>1730</v>
      </c>
      <c r="G37" s="436">
        <f>IF(('Val-Dép'!AA19=""),"",VLOOKUP('Val-Dép'!B19,'Val-Dép'!AA19:AF19,3,FALSE))</f>
        <v>0</v>
      </c>
      <c r="H37" s="159"/>
      <c r="I37" s="437">
        <f>IF('Val-Dép'!I19="","",VLOOKUP('Val-Dép'!AA19,'Val-Dép'!AA19:AF19,6,FALSE))</f>
        <v>0</v>
      </c>
      <c r="J37" s="438"/>
    </row>
    <row r="38" spans="1:14" x14ac:dyDescent="0.25">
      <c r="B38" s="441" t="str">
        <f>'Liv-Four-client'!E119</f>
        <v>C0007</v>
      </c>
      <c r="C38" s="158"/>
      <c r="D38" s="158">
        <v>400</v>
      </c>
      <c r="E38" s="159" t="s">
        <v>1582</v>
      </c>
      <c r="F38" s="439">
        <f>'Val-Dép'!C19</f>
        <v>0</v>
      </c>
      <c r="G38" s="439"/>
      <c r="H38" s="439"/>
      <c r="I38" s="159"/>
      <c r="J38" s="437">
        <f>IF(('Val-Dép'!I19=""),"",'Val-Dép'!Z19)</f>
        <v>0</v>
      </c>
    </row>
    <row r="39" spans="1:14" ht="14.4" thickBot="1" x14ac:dyDescent="0.3">
      <c r="B39" s="442"/>
      <c r="C39" s="273"/>
      <c r="D39" s="273"/>
      <c r="E39" s="417" t="s">
        <v>1346</v>
      </c>
      <c r="F39" s="251" t="s">
        <v>1731</v>
      </c>
      <c r="G39" s="274" t="s">
        <v>1575</v>
      </c>
      <c r="H39" s="449">
        <f>IF(ISNA('Val-Dép'!I19=""),"",'Val-Dép'!J19)</f>
        <v>0</v>
      </c>
      <c r="I39" s="268"/>
      <c r="J39" s="443"/>
      <c r="N39" s="315"/>
    </row>
    <row r="40" spans="1:14" ht="14.4" thickTop="1" x14ac:dyDescent="0.25">
      <c r="A40" s="210">
        <v>20</v>
      </c>
      <c r="B40" s="330"/>
      <c r="C40" s="164"/>
      <c r="D40" s="164">
        <f>'[3]Liv. comp.four-client.'!E59</f>
        <v>0</v>
      </c>
      <c r="E40" s="444" t="s">
        <v>1685</v>
      </c>
      <c r="F40" s="4340">
        <f>IF(('Val-Dép'!AA20=""),"",'Val-Dép'!AD20)</f>
        <v>0</v>
      </c>
      <c r="G40" s="4340"/>
      <c r="H40" s="4340"/>
      <c r="I40" s="171"/>
      <c r="J40" s="445"/>
    </row>
    <row r="41" spans="1:14" x14ac:dyDescent="0.25">
      <c r="B41" s="434"/>
      <c r="C41" s="158">
        <v>550</v>
      </c>
      <c r="D41" s="158"/>
      <c r="E41" s="159" t="s">
        <v>1583</v>
      </c>
      <c r="F41" s="435" t="s">
        <v>1730</v>
      </c>
      <c r="G41" s="436">
        <f>IF(('Val-Dép'!AA20=""),"",VLOOKUP('Val-Dép'!B20,'Val-Dép'!AA20:AF20,3,FALSE))</f>
        <v>0</v>
      </c>
      <c r="H41" s="159"/>
      <c r="I41" s="437">
        <f>IF('Val-Dép'!I20="","",VLOOKUP('Val-Dép'!AA20,'Val-Dép'!AA20:AF20,6,FALSE))</f>
        <v>0</v>
      </c>
      <c r="J41" s="438"/>
    </row>
    <row r="42" spans="1:14" x14ac:dyDescent="0.25">
      <c r="B42" s="441" t="str">
        <f>'Liv-Four-client'!E136</f>
        <v>C0008</v>
      </c>
      <c r="C42" s="158"/>
      <c r="D42" s="158">
        <v>400</v>
      </c>
      <c r="E42" s="159" t="s">
        <v>1582</v>
      </c>
      <c r="F42" s="439">
        <f>'Val-Dép'!C20</f>
        <v>0</v>
      </c>
      <c r="G42" s="439"/>
      <c r="H42" s="439"/>
      <c r="I42" s="159"/>
      <c r="J42" s="437">
        <f>IF(('Val-Dép'!I20=""),"",'Val-Dép'!Z20)</f>
        <v>0</v>
      </c>
    </row>
    <row r="43" spans="1:14" ht="14.4" thickBot="1" x14ac:dyDescent="0.3">
      <c r="B43" s="442"/>
      <c r="C43" s="273"/>
      <c r="D43" s="273"/>
      <c r="E43" s="417" t="s">
        <v>1346</v>
      </c>
      <c r="F43" s="251" t="s">
        <v>1731</v>
      </c>
      <c r="G43" s="274" t="s">
        <v>1575</v>
      </c>
      <c r="H43" s="449">
        <f>IF(ISNA('Val-Dép'!I20=""),"",'Val-Dép'!J20)</f>
        <v>0</v>
      </c>
      <c r="I43" s="268"/>
      <c r="J43" s="443"/>
    </row>
    <row r="44" spans="1:14" ht="14.4" thickTop="1" x14ac:dyDescent="0.25">
      <c r="A44" s="210">
        <v>21</v>
      </c>
      <c r="B44" s="330"/>
      <c r="C44" s="164"/>
      <c r="D44" s="164">
        <f>'[3]Liv. comp.four-client.'!E64</f>
        <v>0</v>
      </c>
      <c r="E44" s="444" t="s">
        <v>1685</v>
      </c>
      <c r="F44" s="4340">
        <f>IF(('Val-Dép'!AA21=""),"",'Val-Dép'!AD21)</f>
        <v>0</v>
      </c>
      <c r="G44" s="4340"/>
      <c r="H44" s="4340"/>
      <c r="I44" s="171"/>
      <c r="J44" s="445"/>
    </row>
    <row r="45" spans="1:14" x14ac:dyDescent="0.25">
      <c r="B45" s="441" t="str">
        <f>'Liv-Four-client'!E154</f>
        <v>C0009</v>
      </c>
      <c r="C45" s="158">
        <v>550</v>
      </c>
      <c r="D45" s="158"/>
      <c r="E45" s="159" t="s">
        <v>1583</v>
      </c>
      <c r="F45" s="435" t="s">
        <v>1730</v>
      </c>
      <c r="G45" s="436">
        <f>IF(('Val-Dép'!AA21=""),"",VLOOKUP('Val-Dép'!B21,'Val-Dép'!AA21:AF21,3,FALSE))</f>
        <v>0</v>
      </c>
      <c r="H45" s="159"/>
      <c r="I45" s="437">
        <f>IF('Val-Dép'!I21="","",VLOOKUP('Val-Dép'!AA21,'Val-Dép'!AA21:AF21,6,FALSE))</f>
        <v>0</v>
      </c>
      <c r="J45" s="438"/>
    </row>
    <row r="46" spans="1:14" x14ac:dyDescent="0.25">
      <c r="B46" s="434"/>
      <c r="C46" s="158"/>
      <c r="D46" s="158">
        <v>400</v>
      </c>
      <c r="E46" s="159" t="s">
        <v>1582</v>
      </c>
      <c r="F46" s="439">
        <f>'Val-Dép'!C21</f>
        <v>0</v>
      </c>
      <c r="G46" s="439"/>
      <c r="H46" s="439"/>
      <c r="I46" s="159"/>
      <c r="J46" s="437">
        <f>IF(('Val-Dép'!I21=""),"",'Val-Dép'!Z21)</f>
        <v>0</v>
      </c>
    </row>
    <row r="47" spans="1:14" ht="14.4" thickBot="1" x14ac:dyDescent="0.3">
      <c r="B47" s="442"/>
      <c r="C47" s="273"/>
      <c r="D47" s="273"/>
      <c r="E47" s="417" t="s">
        <v>1346</v>
      </c>
      <c r="F47" s="251" t="s">
        <v>1731</v>
      </c>
      <c r="G47" s="274" t="s">
        <v>1575</v>
      </c>
      <c r="H47" s="449">
        <f>IF(ISNA('Val-Dép'!I21=""),"",'Val-Dép'!J21)</f>
        <v>0</v>
      </c>
      <c r="I47" s="268"/>
      <c r="J47" s="443"/>
    </row>
    <row r="48" spans="1:14" ht="14.4" thickTop="1" x14ac:dyDescent="0.25">
      <c r="A48" s="210">
        <v>22</v>
      </c>
      <c r="B48" s="330"/>
      <c r="C48" s="164"/>
      <c r="D48" s="164">
        <f>'[3]Liv. comp.four-client.'!E69</f>
        <v>0</v>
      </c>
      <c r="E48" s="444" t="s">
        <v>1685</v>
      </c>
      <c r="F48" s="4340">
        <f>IF(('Val-Dép'!AA22=""),"",'Val-Dép'!AD22)</f>
        <v>0</v>
      </c>
      <c r="G48" s="4340"/>
      <c r="H48" s="4340"/>
      <c r="I48" s="171"/>
      <c r="J48" s="445"/>
    </row>
    <row r="49" spans="1:12" x14ac:dyDescent="0.25">
      <c r="B49" s="441">
        <f>'Liv-Four-client'!E1171</f>
        <v>0</v>
      </c>
      <c r="C49" s="158">
        <v>550</v>
      </c>
      <c r="D49" s="158"/>
      <c r="E49" s="159" t="s">
        <v>1583</v>
      </c>
      <c r="F49" s="435" t="s">
        <v>1730</v>
      </c>
      <c r="G49" s="436">
        <f>IF(('Val-Dép'!AA22=""),"",VLOOKUP('Val-Dép'!B22,'Val-Dép'!AA22:AF22,3,FALSE))</f>
        <v>0</v>
      </c>
      <c r="H49" s="159"/>
      <c r="I49" s="437">
        <f>IF('Val-Dép'!I22="","",VLOOKUP('Val-Dép'!AA22,'Val-Dép'!AA22:AF22,6,FALSE))</f>
        <v>0</v>
      </c>
      <c r="J49" s="438"/>
    </row>
    <row r="50" spans="1:12" x14ac:dyDescent="0.25">
      <c r="B50" s="434"/>
      <c r="C50" s="158"/>
      <c r="D50" s="158">
        <v>400</v>
      </c>
      <c r="E50" s="159" t="s">
        <v>1582</v>
      </c>
      <c r="F50" s="439">
        <f>'Val-Dép'!C22</f>
        <v>0</v>
      </c>
      <c r="G50" s="439"/>
      <c r="H50" s="439"/>
      <c r="I50" s="159"/>
      <c r="J50" s="437">
        <f>IF(('Val-Dép'!I22=""),"",'Val-Dép'!Z22)</f>
        <v>0</v>
      </c>
    </row>
    <row r="51" spans="1:12" ht="14.4" thickBot="1" x14ac:dyDescent="0.3">
      <c r="B51" s="442"/>
      <c r="C51" s="273"/>
      <c r="D51" s="273"/>
      <c r="E51" s="417" t="s">
        <v>1346</v>
      </c>
      <c r="F51" s="251" t="s">
        <v>1731</v>
      </c>
      <c r="G51" s="274" t="s">
        <v>1575</v>
      </c>
      <c r="H51" s="449">
        <f>IF(ISNA('Val-Dép'!I22=""),"",'Val-Dép'!J22)</f>
        <v>0</v>
      </c>
      <c r="I51" s="268"/>
      <c r="J51" s="443"/>
    </row>
    <row r="52" spans="1:12" ht="14.4" thickTop="1" x14ac:dyDescent="0.25">
      <c r="A52" s="210">
        <v>23</v>
      </c>
      <c r="B52" s="330"/>
      <c r="C52" s="164"/>
      <c r="D52" s="164">
        <f>'[3]Liv. comp.four-client.'!E74</f>
        <v>0</v>
      </c>
      <c r="E52" s="444" t="s">
        <v>1685</v>
      </c>
      <c r="F52" s="4340">
        <f>IF(('Val-Dép'!AA23=""),"",'Val-Dép'!AD23)</f>
        <v>0</v>
      </c>
      <c r="G52" s="4340"/>
      <c r="H52" s="4340"/>
      <c r="I52" s="171"/>
      <c r="J52" s="445"/>
    </row>
    <row r="53" spans="1:12" x14ac:dyDescent="0.25">
      <c r="B53" s="434"/>
      <c r="C53" s="158">
        <v>550</v>
      </c>
      <c r="D53" s="158"/>
      <c r="E53" s="159" t="s">
        <v>1583</v>
      </c>
      <c r="F53" s="435" t="s">
        <v>1730</v>
      </c>
      <c r="G53" s="436">
        <f>IF(('Val-Dép'!AA23=""),"",VLOOKUP('Val-Dép'!B23,'Val-Dép'!AA23:AF23,3,FALSE))</f>
        <v>0</v>
      </c>
      <c r="H53" s="159"/>
      <c r="I53" s="437">
        <f>IF('Val-Dép'!I23="","",VLOOKUP('Val-Dép'!AA23,'Val-Dép'!AA23:AF23,6,FALSE))</f>
        <v>0</v>
      </c>
      <c r="J53" s="438"/>
      <c r="K53" s="4354" t="s">
        <v>1726</v>
      </c>
      <c r="L53" s="4190"/>
    </row>
    <row r="54" spans="1:12" x14ac:dyDescent="0.25">
      <c r="B54" s="447" t="str">
        <f>'Liv-Four-client'!E189</f>
        <v>C00012</v>
      </c>
      <c r="C54" s="163"/>
      <c r="D54" s="163">
        <v>400</v>
      </c>
      <c r="E54" s="170" t="s">
        <v>1582</v>
      </c>
      <c r="F54" s="439">
        <f>'Val-Dép'!C23</f>
        <v>0</v>
      </c>
      <c r="G54" s="448"/>
      <c r="H54" s="448"/>
      <c r="I54" s="170"/>
      <c r="J54" s="437">
        <f>IF(('Val-Dép'!I23=""),"",'Val-Dép'!Z23)</f>
        <v>0</v>
      </c>
      <c r="K54" s="4354" t="s">
        <v>1910</v>
      </c>
      <c r="L54" s="4190"/>
    </row>
    <row r="55" spans="1:12" ht="14.4" thickBot="1" x14ac:dyDescent="0.3">
      <c r="B55" s="428"/>
      <c r="C55" s="384"/>
      <c r="D55" s="384"/>
      <c r="E55" s="244" t="s">
        <v>1346</v>
      </c>
      <c r="F55" s="245" t="s">
        <v>1731</v>
      </c>
      <c r="G55" s="390" t="s">
        <v>1575</v>
      </c>
      <c r="H55" s="449">
        <f>IF(ISNA('Val-Dép'!I23=""),"",'Val-Dép'!J23)</f>
        <v>0</v>
      </c>
      <c r="I55" s="391"/>
      <c r="J55" s="429"/>
      <c r="K55" s="4354" t="s">
        <v>1909</v>
      </c>
      <c r="L55" s="4190"/>
    </row>
    <row r="56" spans="1:12" ht="14.4" thickTop="1" x14ac:dyDescent="0.25">
      <c r="B56" s="11"/>
      <c r="C56" s="376"/>
      <c r="D56" s="376"/>
      <c r="E56" s="11"/>
      <c r="F56" s="386"/>
      <c r="G56" s="386"/>
      <c r="H56" s="386"/>
      <c r="I56" s="389">
        <f>SUM(I13:I55)</f>
        <v>0</v>
      </c>
      <c r="J56" s="389">
        <f>SUM(J14:J55)</f>
        <v>0</v>
      </c>
      <c r="K56" s="4190" t="s">
        <v>1728</v>
      </c>
      <c r="L56" s="4190"/>
    </row>
    <row r="57" spans="1:12" ht="28.5" customHeight="1" x14ac:dyDescent="0.25">
      <c r="B57" s="3"/>
      <c r="C57" s="187"/>
      <c r="D57" s="4355" t="s">
        <v>2086</v>
      </c>
      <c r="E57" s="4355"/>
      <c r="F57" s="4355"/>
      <c r="G57" s="4355"/>
      <c r="H57" s="4355"/>
      <c r="I57" s="48"/>
      <c r="J57" s="48"/>
    </row>
    <row r="58" spans="1:12" ht="17.399999999999999" x14ac:dyDescent="0.3">
      <c r="B58" s="3"/>
      <c r="C58" s="187"/>
      <c r="D58" s="4360" t="s">
        <v>1345</v>
      </c>
      <c r="E58" s="4360"/>
      <c r="F58" s="4360"/>
      <c r="G58" s="4360"/>
      <c r="H58" s="4360"/>
    </row>
    <row r="59" spans="1:12" x14ac:dyDescent="0.25">
      <c r="B59" s="3"/>
      <c r="C59" s="187"/>
      <c r="D59" s="187"/>
      <c r="E59" s="3"/>
      <c r="F59" s="67"/>
      <c r="G59" s="67"/>
      <c r="H59" s="65"/>
      <c r="I59" s="48"/>
      <c r="J59" s="48"/>
    </row>
    <row r="60" spans="1:12" x14ac:dyDescent="0.25">
      <c r="B60" s="3"/>
      <c r="C60" s="187"/>
      <c r="D60" s="187"/>
      <c r="E60" s="3"/>
      <c r="F60" s="67"/>
      <c r="G60" s="67"/>
      <c r="H60" s="65"/>
      <c r="I60" s="48"/>
      <c r="J60" s="48"/>
    </row>
    <row r="61" spans="1:12" x14ac:dyDescent="0.25">
      <c r="B61" s="3"/>
      <c r="C61" s="187"/>
      <c r="D61" s="187"/>
      <c r="E61" s="3"/>
      <c r="F61" s="67"/>
      <c r="G61" s="67"/>
      <c r="H61" s="65"/>
      <c r="I61" s="48"/>
      <c r="J61" s="48"/>
    </row>
    <row r="62" spans="1:12" x14ac:dyDescent="0.25">
      <c r="B62" s="3"/>
      <c r="C62" s="187"/>
      <c r="D62" s="187"/>
      <c r="E62" s="3"/>
      <c r="F62" s="67"/>
      <c r="G62" s="67"/>
      <c r="H62" s="65"/>
      <c r="I62" s="48"/>
      <c r="J62" s="48"/>
    </row>
    <row r="63" spans="1:12" x14ac:dyDescent="0.25">
      <c r="B63" s="3"/>
      <c r="C63" s="187"/>
      <c r="D63" s="187"/>
      <c r="E63" s="3"/>
      <c r="F63" s="67"/>
      <c r="G63" s="67"/>
      <c r="H63" s="65"/>
      <c r="I63" s="48"/>
      <c r="J63" s="48"/>
    </row>
    <row r="64" spans="1:12" x14ac:dyDescent="0.25">
      <c r="B64" s="3"/>
      <c r="C64" s="187"/>
      <c r="D64" s="187"/>
      <c r="E64" s="3"/>
      <c r="F64" s="67"/>
      <c r="G64" s="67"/>
      <c r="H64" s="65"/>
      <c r="I64" s="48"/>
      <c r="J64" s="48"/>
    </row>
    <row r="65" spans="1:22" x14ac:dyDescent="0.25">
      <c r="B65" s="3"/>
      <c r="C65" s="187"/>
      <c r="D65" s="187"/>
      <c r="E65" s="3"/>
      <c r="F65" s="67"/>
      <c r="G65" s="67"/>
      <c r="H65" s="65"/>
      <c r="I65" s="48"/>
      <c r="J65" s="48"/>
    </row>
    <row r="66" spans="1:22" ht="21" thickBot="1" x14ac:dyDescent="0.4">
      <c r="A66" s="392"/>
      <c r="B66" s="4362" t="s">
        <v>1684</v>
      </c>
      <c r="C66" s="4363"/>
      <c r="D66" s="4363"/>
      <c r="E66" s="4363"/>
      <c r="F66" s="4363"/>
      <c r="G66" s="4363"/>
      <c r="H66" s="401" t="e">
        <f>'VAL-INIT'!#REF!</f>
        <v>#REF!</v>
      </c>
      <c r="I66" s="385" t="s">
        <v>1592</v>
      </c>
      <c r="J66" s="385" t="s">
        <v>1591</v>
      </c>
    </row>
    <row r="67" spans="1:22" ht="21.6" thickTop="1" thickBot="1" x14ac:dyDescent="0.4">
      <c r="A67" s="392"/>
      <c r="B67" s="4350" t="s">
        <v>1734</v>
      </c>
      <c r="C67" s="4351"/>
      <c r="D67" s="4351"/>
      <c r="E67" s="4351"/>
      <c r="F67" s="4351"/>
      <c r="G67" s="4351"/>
      <c r="H67" s="401" t="e">
        <f>'VAL-INIT'!#REF!</f>
        <v>#REF!</v>
      </c>
      <c r="I67" s="399"/>
      <c r="J67" s="400"/>
      <c r="K67" s="405"/>
      <c r="L67" s="375"/>
    </row>
    <row r="68" spans="1:22" ht="16.8" thickTop="1" thickBot="1" x14ac:dyDescent="0.35">
      <c r="A68" s="392"/>
      <c r="C68" s="398"/>
      <c r="D68" s="398"/>
      <c r="E68" s="4347" t="s">
        <v>1593</v>
      </c>
      <c r="F68" s="4348"/>
      <c r="G68" s="4348"/>
      <c r="H68" s="4349"/>
      <c r="I68" s="320" t="s">
        <v>1592</v>
      </c>
      <c r="J68" s="320" t="s">
        <v>1591</v>
      </c>
      <c r="K68" s="3"/>
      <c r="L68" s="3"/>
      <c r="N68" s="393"/>
      <c r="O68" s="7"/>
      <c r="P68" s="136"/>
      <c r="Q68" s="136"/>
      <c r="R68" s="138"/>
      <c r="S68" s="138"/>
      <c r="T68" s="64"/>
      <c r="U68" s="139"/>
      <c r="V68" s="139"/>
    </row>
    <row r="69" spans="1:22" ht="14.4" thickTop="1" x14ac:dyDescent="0.25">
      <c r="K69" s="3"/>
      <c r="L69" s="3"/>
    </row>
    <row r="70" spans="1:22" ht="15.6" x14ac:dyDescent="0.3">
      <c r="B70" s="4361" t="s">
        <v>1581</v>
      </c>
      <c r="C70" s="4361"/>
      <c r="D70" s="4361"/>
      <c r="E70" s="4361"/>
      <c r="F70" s="4361"/>
      <c r="G70" s="4361"/>
      <c r="H70" s="4361"/>
      <c r="I70" s="313" t="s">
        <v>1580</v>
      </c>
      <c r="J70" s="313" t="s">
        <v>1579</v>
      </c>
      <c r="K70" s="3"/>
      <c r="L70" s="3"/>
      <c r="N70" s="60"/>
      <c r="O70" s="7"/>
      <c r="P70" s="136"/>
      <c r="Q70" s="136"/>
      <c r="R70" s="138"/>
      <c r="S70" s="138"/>
      <c r="T70" s="64"/>
      <c r="U70" s="139"/>
      <c r="V70" s="139"/>
    </row>
    <row r="71" spans="1:22" ht="41.4" x14ac:dyDescent="0.25">
      <c r="B71" s="241" t="s">
        <v>1353</v>
      </c>
      <c r="C71" s="241" t="s">
        <v>1352</v>
      </c>
      <c r="D71" s="241" t="s">
        <v>1351</v>
      </c>
      <c r="E71" s="4356" t="e">
        <f>'VAL-INIT'!#REF!</f>
        <v>#REF!</v>
      </c>
      <c r="F71" s="4357"/>
      <c r="G71" s="4357"/>
      <c r="H71" s="4358"/>
      <c r="I71" s="241" t="s">
        <v>1350</v>
      </c>
      <c r="J71" s="241" t="s">
        <v>1349</v>
      </c>
      <c r="K71" s="3"/>
      <c r="L71" s="3"/>
    </row>
    <row r="72" spans="1:22" ht="16.2" thickBot="1" x14ac:dyDescent="0.3">
      <c r="B72" s="169"/>
      <c r="C72" s="169"/>
      <c r="D72" s="169"/>
      <c r="E72" s="4359" t="s">
        <v>199</v>
      </c>
      <c r="F72" s="4359"/>
      <c r="G72" s="4359"/>
      <c r="H72" s="4359"/>
      <c r="I72" s="329" t="s">
        <v>3</v>
      </c>
      <c r="J72" s="329" t="s">
        <v>3</v>
      </c>
      <c r="K72" s="3"/>
      <c r="L72" s="3"/>
    </row>
    <row r="73" spans="1:22" ht="15" thickTop="1" thickBot="1" x14ac:dyDescent="0.3">
      <c r="A73" s="210">
        <v>35</v>
      </c>
      <c r="B73" s="311">
        <f>'[2]Val-Dép'!B35</f>
        <v>0</v>
      </c>
      <c r="C73" s="311"/>
      <c r="D73" s="266"/>
      <c r="E73" s="427" t="s">
        <v>126</v>
      </c>
      <c r="F73" s="4352">
        <f>IF(('Val-Dép'!$AH$35=""),"",VLOOKUP('Val-Dép'!$AH$35,'Val-Dép'!AH35:AM35,4,FALSE))</f>
        <v>0</v>
      </c>
      <c r="G73" s="4352"/>
      <c r="H73" s="4353"/>
      <c r="I73" s="311"/>
      <c r="J73" s="311"/>
      <c r="K73" s="3"/>
      <c r="L73" s="3">
        <v>35</v>
      </c>
    </row>
    <row r="74" spans="1:22" ht="14.4" thickBot="1" x14ac:dyDescent="0.3">
      <c r="B74" s="159"/>
      <c r="C74" s="158"/>
      <c r="D74" s="158">
        <v>550</v>
      </c>
      <c r="E74" s="309" t="s">
        <v>1577</v>
      </c>
      <c r="F74" s="238" t="s">
        <v>1575</v>
      </c>
      <c r="G74" s="275">
        <f>IF(('Val-Dép'!$AH$35=""),"",VLOOKUP('Val-Dép'!$AH$35,'Val-Dép'!AH35:AM35,3,FALSE))</f>
        <v>0</v>
      </c>
      <c r="H74" s="310"/>
      <c r="I74" s="159"/>
      <c r="J74" s="437">
        <f>IF('Val-Dép'!$AH$35="","",'Val-Dép'!$AM$35)</f>
        <v>0</v>
      </c>
      <c r="K74" s="3"/>
      <c r="L74" s="3">
        <v>36</v>
      </c>
    </row>
    <row r="75" spans="1:22" ht="14.4" thickBot="1" x14ac:dyDescent="0.3">
      <c r="B75" s="159"/>
      <c r="C75" s="158">
        <v>440</v>
      </c>
      <c r="D75" s="158"/>
      <c r="E75" s="309" t="s">
        <v>1347</v>
      </c>
      <c r="F75" s="578" t="str">
        <f>IF(('Val-Dép'!$B$35=""),"",VLOOKUP('Val-Dép'!$B$35,'Val-Dép'!B35:D35,2,FALSE))</f>
        <v>four01</v>
      </c>
      <c r="G75" s="387"/>
      <c r="H75" s="224"/>
      <c r="I75" s="437">
        <f>IF(('Val-Dép'!$B$35=" "),"",'Val-Dép'!$AF$35)</f>
        <v>0</v>
      </c>
      <c r="J75" s="159"/>
      <c r="K75" s="3"/>
      <c r="L75" s="3">
        <v>37</v>
      </c>
    </row>
    <row r="76" spans="1:22" ht="14.4" thickBot="1" x14ac:dyDescent="0.3">
      <c r="B76" s="274"/>
      <c r="C76" s="273"/>
      <c r="D76" s="273"/>
      <c r="E76" s="308" t="s">
        <v>1573</v>
      </c>
      <c r="F76" s="307" t="s">
        <v>1572</v>
      </c>
      <c r="G76" s="403" t="s">
        <v>1732</v>
      </c>
      <c r="H76" s="275">
        <f>IF(('Val-Dép'!I35=""),"",'Val-Dép'!J35)</f>
        <v>0</v>
      </c>
      <c r="I76" s="268"/>
      <c r="J76" s="268"/>
      <c r="K76" s="3"/>
      <c r="L76" s="7">
        <v>38</v>
      </c>
    </row>
    <row r="77" spans="1:22" ht="15" thickTop="1" thickBot="1" x14ac:dyDescent="0.3">
      <c r="A77" s="210">
        <v>36</v>
      </c>
      <c r="B77" s="165">
        <f>'[2]Val-Dép'!B36</f>
        <v>0</v>
      </c>
      <c r="C77" s="164"/>
      <c r="D77" s="164"/>
      <c r="E77" s="312" t="s">
        <v>126</v>
      </c>
      <c r="F77" s="4352">
        <f>IF(('Val-Dép'!AH36=""),"",VLOOKUP('Val-Dép'!$AH$36,'Val-Dép'!AH36:AM36,4,FALSE))</f>
        <v>0</v>
      </c>
      <c r="G77" s="4352"/>
      <c r="H77" s="4353"/>
      <c r="I77" s="171"/>
      <c r="J77" s="171"/>
      <c r="K77" s="3"/>
      <c r="L77" s="7">
        <v>39</v>
      </c>
    </row>
    <row r="78" spans="1:22" ht="14.4" thickBot="1" x14ac:dyDescent="0.3">
      <c r="B78" s="159"/>
      <c r="C78" s="158"/>
      <c r="D78" s="158"/>
      <c r="E78" s="305" t="s">
        <v>1577</v>
      </c>
      <c r="F78" s="304" t="s">
        <v>1575</v>
      </c>
      <c r="G78" s="275">
        <f>IF(('Val-Dép'!$AH$36=""),"",VLOOKUP('Val-Dép'!$B$36,'Val-Dép'!AH36:AM36,3,FALSE))</f>
        <v>0</v>
      </c>
      <c r="H78" s="306"/>
      <c r="I78" s="255"/>
      <c r="J78" s="437">
        <f>IF('Val-Dép'!$AH$36="","",'Val-Dép'!$AM$36)</f>
        <v>0</v>
      </c>
      <c r="K78" s="3"/>
      <c r="L78" s="7">
        <v>40</v>
      </c>
    </row>
    <row r="79" spans="1:22" ht="14.4" thickBot="1" x14ac:dyDescent="0.3">
      <c r="B79" s="159"/>
      <c r="C79" s="158"/>
      <c r="D79" s="158"/>
      <c r="E79" s="305" t="s">
        <v>1347</v>
      </c>
      <c r="F79" s="578" t="str">
        <f>IF(('Val-Dép'!$B$36=""),"",VLOOKUP('Val-Dép'!$B$36,'Val-Dép'!B36:D36,2,FALSE))</f>
        <v>four02</v>
      </c>
      <c r="G79" s="387"/>
      <c r="H79" s="303"/>
      <c r="I79" s="437">
        <f>IF(('Val-Dép'!$B$36=" "),"",'Val-Dép'!$AF$36)</f>
        <v>0</v>
      </c>
      <c r="J79" s="253"/>
      <c r="K79" s="3"/>
      <c r="L79" s="7">
        <v>41</v>
      </c>
    </row>
    <row r="80" spans="1:22" ht="14.4" thickBot="1" x14ac:dyDescent="0.3">
      <c r="B80" s="170"/>
      <c r="C80" s="163"/>
      <c r="D80" s="163"/>
      <c r="E80" s="302" t="s">
        <v>1573</v>
      </c>
      <c r="F80" s="301" t="s">
        <v>1572</v>
      </c>
      <c r="G80" s="403" t="s">
        <v>1575</v>
      </c>
      <c r="H80" s="275">
        <f>IF(('Val-Dép'!I36=""),"",'Val-Dép'!J36)</f>
        <v>0</v>
      </c>
      <c r="I80" s="162"/>
      <c r="J80" s="162"/>
      <c r="K80" s="3"/>
      <c r="L80" s="7">
        <v>42</v>
      </c>
    </row>
    <row r="81" spans="1:15" ht="15" thickTop="1" thickBot="1" x14ac:dyDescent="0.3">
      <c r="A81" s="210">
        <v>37</v>
      </c>
      <c r="B81" s="300">
        <f>'[2]Val-Dép'!B37</f>
        <v>0</v>
      </c>
      <c r="C81" s="300"/>
      <c r="D81" s="299"/>
      <c r="E81" s="312" t="s">
        <v>126</v>
      </c>
      <c r="F81" s="4352">
        <f>IF(('Val-Dép'!AH37=""),"",VLOOKUP('Val-Dép'!AH37,'Val-Dép'!AH37:AM37,4,FALSE))</f>
        <v>0</v>
      </c>
      <c r="G81" s="4352"/>
      <c r="H81" s="4353"/>
      <c r="I81" s="298"/>
      <c r="J81" s="298"/>
      <c r="L81" s="7">
        <v>43</v>
      </c>
      <c r="M81" s="437">
        <f>IF(('Val-Dép'!B43=" "),"",'Val-Dép'!AF43)</f>
        <v>0</v>
      </c>
      <c r="N81" s="480"/>
      <c r="O81" s="481"/>
    </row>
    <row r="82" spans="1:15" ht="14.4" thickBot="1" x14ac:dyDescent="0.3">
      <c r="B82" s="286"/>
      <c r="C82" s="191"/>
      <c r="D82" s="296">
        <v>550</v>
      </c>
      <c r="E82" s="226" t="s">
        <v>1576</v>
      </c>
      <c r="F82" s="225" t="s">
        <v>1575</v>
      </c>
      <c r="G82" s="275">
        <f>IF(('Val-Dép'!$AH$37=""),"",VLOOKUP('Val-Dép'!$AH$37,'Val-Dép'!AH37:AM37,3,FALSE))</f>
        <v>0</v>
      </c>
      <c r="H82" s="297"/>
      <c r="I82" s="3"/>
      <c r="J82" s="437">
        <f>IF('Val-Dép'!$AH$37="","",'Val-Dép'!$AM$37)</f>
        <v>0</v>
      </c>
      <c r="L82" s="7">
        <v>44</v>
      </c>
      <c r="M82" s="437">
        <f>IF(('Val-Dép'!B44=" "),"",'Val-Dép'!AF44)</f>
        <v>0</v>
      </c>
      <c r="N82" s="480"/>
      <c r="O82" s="481"/>
    </row>
    <row r="83" spans="1:15" ht="14.4" thickBot="1" x14ac:dyDescent="0.3">
      <c r="B83" s="286"/>
      <c r="C83" s="158">
        <v>440</v>
      </c>
      <c r="D83" s="296"/>
      <c r="E83" s="226" t="s">
        <v>1574</v>
      </c>
      <c r="F83" s="578" t="str">
        <f>IF(('Val-Dép'!$B$37=""),"",VLOOKUP('Val-Dép'!$B$37,'Val-Dép'!B37:D37,2,FALSE))</f>
        <v>four03</v>
      </c>
      <c r="G83" s="387"/>
      <c r="H83" s="218"/>
      <c r="I83" s="437">
        <f>IF(('Val-Dép'!$B$37=" "),"",'Val-Dép'!$AF$37)</f>
        <v>0</v>
      </c>
      <c r="J83" s="39"/>
      <c r="M83" s="437">
        <f>IF(('Val-Dép'!B45=" "),"",'Val-Dép'!AF45)</f>
        <v>0</v>
      </c>
      <c r="N83" s="45"/>
    </row>
    <row r="84" spans="1:15" ht="18.600000000000001" thickBot="1" x14ac:dyDescent="0.4">
      <c r="B84" s="283"/>
      <c r="C84" s="282"/>
      <c r="D84" s="282"/>
      <c r="E84" s="295" t="s">
        <v>1573</v>
      </c>
      <c r="F84" s="294" t="s">
        <v>1578</v>
      </c>
      <c r="G84" s="403" t="s">
        <v>1575</v>
      </c>
      <c r="H84" s="275" t="str">
        <f>IF(('Val-Dép'!I37=""),"",'Val-Dép'!J37)</f>
        <v/>
      </c>
      <c r="I84" s="278"/>
      <c r="J84" s="278"/>
      <c r="K84" s="7"/>
      <c r="M84" s="482"/>
      <c r="N84" s="293"/>
      <c r="O84" s="35"/>
    </row>
    <row r="85" spans="1:15" ht="15" thickTop="1" thickBot="1" x14ac:dyDescent="0.3">
      <c r="A85" s="210">
        <v>38</v>
      </c>
      <c r="B85" s="267">
        <f>'[2]Val-Dép'!B38</f>
        <v>0</v>
      </c>
      <c r="C85" s="266"/>
      <c r="D85" s="265"/>
      <c r="E85" s="312" t="s">
        <v>126</v>
      </c>
      <c r="F85" s="4352">
        <f>IF(('Val-Dép'!AH38=""),"",VLOOKUP('Val-Dép'!AH38,'Val-Dép'!AH38:AM38,4,FALSE))</f>
        <v>0</v>
      </c>
      <c r="G85" s="4352"/>
      <c r="H85" s="4353"/>
      <c r="I85" s="264"/>
      <c r="J85" s="263"/>
      <c r="K85" s="7"/>
      <c r="M85" s="3"/>
      <c r="N85" s="3"/>
    </row>
    <row r="86" spans="1:15" ht="14.4" thickBot="1" x14ac:dyDescent="0.3">
      <c r="B86" s="159"/>
      <c r="C86" s="158"/>
      <c r="D86" s="190"/>
      <c r="E86" s="166" t="s">
        <v>1576</v>
      </c>
      <c r="F86" s="7" t="s">
        <v>1575</v>
      </c>
      <c r="G86" s="275">
        <f>IF(('Val-Dép'!$AH$38=""),"",VLOOKUP('Val-Dép'!$AH$38,'Val-Dép'!AH38:AM38,3,FALSE))</f>
        <v>0</v>
      </c>
      <c r="H86" s="277"/>
      <c r="I86" s="255"/>
      <c r="J86" s="437">
        <f>IF('Val-Dép'!$AH$38="","",'Val-Dép'!$AM$38)</f>
        <v>0</v>
      </c>
      <c r="K86" s="7"/>
      <c r="M86" s="3"/>
      <c r="N86" s="3"/>
    </row>
    <row r="87" spans="1:15" ht="14.4" thickBot="1" x14ac:dyDescent="0.3">
      <c r="B87" s="159"/>
      <c r="C87" s="158"/>
      <c r="D87" s="190"/>
      <c r="E87" s="166" t="s">
        <v>1574</v>
      </c>
      <c r="F87" s="275">
        <f>IF(('Val-Dép'!$B$38=""),"",VLOOKUP('Val-Dép'!$B$38,'Val-Dép'!B38:D38,2,FALSE))</f>
        <v>0</v>
      </c>
      <c r="G87" s="387"/>
      <c r="H87" s="276"/>
      <c r="I87" s="437">
        <f>IF(('Val-Dép'!$B$38=" "),"",'Val-Dép'!$AF$38)</f>
        <v>0</v>
      </c>
      <c r="J87" s="253"/>
      <c r="K87" s="7"/>
      <c r="M87" s="45"/>
      <c r="N87" s="45"/>
    </row>
    <row r="88" spans="1:15" ht="14.4" thickBot="1" x14ac:dyDescent="0.3">
      <c r="B88" s="274"/>
      <c r="C88" s="273"/>
      <c r="D88" s="272"/>
      <c r="E88" s="271" t="s">
        <v>1573</v>
      </c>
      <c r="F88" s="270" t="s">
        <v>1572</v>
      </c>
      <c r="G88" s="403" t="s">
        <v>1575</v>
      </c>
      <c r="H88" s="275" t="str">
        <f>IF(('Val-Dép'!I38=""),"",'Val-Dép'!J38)</f>
        <v/>
      </c>
      <c r="I88" s="269"/>
      <c r="J88" s="268"/>
      <c r="K88" s="7"/>
      <c r="M88" s="35"/>
      <c r="N88" s="35"/>
      <c r="O88" s="35"/>
    </row>
    <row r="89" spans="1:15" ht="15" thickTop="1" thickBot="1" x14ac:dyDescent="0.3">
      <c r="A89" s="210">
        <v>39</v>
      </c>
      <c r="B89" s="292"/>
      <c r="C89" s="291"/>
      <c r="D89" s="290"/>
      <c r="E89" s="312" t="s">
        <v>126</v>
      </c>
      <c r="F89" s="4352">
        <f>IF(('Val-Dép'!AH39=""),"",VLOOKUP('Val-Dép'!AH39,'Val-Dép'!AH39:AM39,4,FALSE))</f>
        <v>0</v>
      </c>
      <c r="G89" s="4352"/>
      <c r="H89" s="4353"/>
      <c r="I89" s="289"/>
      <c r="J89" s="288"/>
      <c r="K89" s="7"/>
      <c r="L89" s="454"/>
    </row>
    <row r="90" spans="1:15" ht="14.4" thickBot="1" x14ac:dyDescent="0.3">
      <c r="B90" s="286"/>
      <c r="C90" s="187"/>
      <c r="D90" s="287">
        <v>550</v>
      </c>
      <c r="E90" s="166" t="s">
        <v>1576</v>
      </c>
      <c r="F90" s="7" t="s">
        <v>1575</v>
      </c>
      <c r="G90" s="275">
        <f>IF(('Val-Dép'!$AH$39=""),"",VLOOKUP('Val-Dép'!$AH$39,'Val-Dép'!AH39:AM39,3,FALSE))</f>
        <v>0</v>
      </c>
      <c r="H90" s="277"/>
      <c r="I90" s="3"/>
      <c r="J90" s="437">
        <f>IF('Val-Dép'!$AH$39="","",'Val-Dép'!$AM$39)</f>
        <v>0</v>
      </c>
      <c r="L90" s="139"/>
    </row>
    <row r="91" spans="1:15" ht="14.4" thickBot="1" x14ac:dyDescent="0.3">
      <c r="B91" s="286"/>
      <c r="C91" s="191">
        <v>440</v>
      </c>
      <c r="D91" s="285"/>
      <c r="E91" s="166" t="s">
        <v>1347</v>
      </c>
      <c r="F91" s="275" t="str">
        <f>IF(('Val-Dép'!$B$39=""),"",VLOOKUP('Val-Dép'!$B$39,'Val-Dép'!B39:D39,2,FALSE))</f>
        <v/>
      </c>
      <c r="G91" s="387"/>
      <c r="H91" s="284"/>
      <c r="I91" s="437">
        <f>IF(('Val-Dép'!$B$39=" "),"",'Val-Dép'!$AF$39)</f>
        <v>0</v>
      </c>
      <c r="J91" s="39"/>
      <c r="L91" s="7"/>
    </row>
    <row r="92" spans="1:15" ht="14.4" thickBot="1" x14ac:dyDescent="0.3">
      <c r="B92" s="283"/>
      <c r="C92" s="282"/>
      <c r="D92" s="187"/>
      <c r="E92" s="281" t="s">
        <v>1346</v>
      </c>
      <c r="F92" s="280" t="s">
        <v>1572</v>
      </c>
      <c r="G92" s="403" t="s">
        <v>1575</v>
      </c>
      <c r="H92" s="275" t="str">
        <f>IF(('Val-Dép'!I39=""),"",'Val-Dép'!J39)</f>
        <v/>
      </c>
      <c r="I92" s="279"/>
      <c r="J92" s="278"/>
      <c r="L92" s="7"/>
    </row>
    <row r="93" spans="1:15" ht="15" thickTop="1" thickBot="1" x14ac:dyDescent="0.3">
      <c r="A93" s="210">
        <v>40</v>
      </c>
      <c r="B93" s="267"/>
      <c r="C93" s="266"/>
      <c r="D93" s="265"/>
      <c r="E93" s="312" t="s">
        <v>126</v>
      </c>
      <c r="F93" s="4352">
        <f>IF(('Val-Dép'!AH40=""),"",VLOOKUP('Val-Dép'!AH40,'Val-Dép'!AH40:AM40,4,FALSE))</f>
        <v>0</v>
      </c>
      <c r="G93" s="4352"/>
      <c r="H93" s="4353"/>
      <c r="I93" s="264"/>
      <c r="J93" s="263"/>
    </row>
    <row r="94" spans="1:15" ht="14.4" thickBot="1" x14ac:dyDescent="0.3">
      <c r="B94" s="159"/>
      <c r="C94" s="158"/>
      <c r="D94" s="190"/>
      <c r="E94" s="166" t="s">
        <v>1577</v>
      </c>
      <c r="F94" s="7" t="s">
        <v>1575</v>
      </c>
      <c r="G94" s="275">
        <f>IF(('Val-Dép'!$AH$40=""),"",VLOOKUP('Val-Dép'!$AH$40,'Val-Dép'!AH40:AM40,3,FALSE))</f>
        <v>0</v>
      </c>
      <c r="H94" s="277"/>
      <c r="I94" s="255"/>
      <c r="J94" s="437">
        <f>IF('Val-Dép'!$AH$40="","",'Val-Dép'!$AM$40)</f>
        <v>0</v>
      </c>
    </row>
    <row r="95" spans="1:15" ht="14.4" thickBot="1" x14ac:dyDescent="0.3">
      <c r="B95" s="159"/>
      <c r="C95" s="158"/>
      <c r="D95" s="190"/>
      <c r="E95" s="166" t="s">
        <v>1347</v>
      </c>
      <c r="F95" s="275" t="str">
        <f>IF(('Val-Dép'!$B$40=""),"",VLOOKUP('Val-Dép'!$B$40,'Val-Dép'!B40:D40,2,FALSE))</f>
        <v/>
      </c>
      <c r="G95" s="387"/>
      <c r="H95" s="276"/>
      <c r="I95" s="437">
        <f>IF(('Val-Dép'!$B$40=" "),"",'Val-Dép'!$AF$40)</f>
        <v>0</v>
      </c>
      <c r="J95" s="253"/>
    </row>
    <row r="96" spans="1:15" ht="14.4" thickBot="1" x14ac:dyDescent="0.3">
      <c r="B96" s="274"/>
      <c r="C96" s="273"/>
      <c r="D96" s="272"/>
      <c r="E96" s="271" t="s">
        <v>1573</v>
      </c>
      <c r="F96" s="270" t="s">
        <v>1572</v>
      </c>
      <c r="G96" s="403" t="s">
        <v>1575</v>
      </c>
      <c r="H96" s="275" t="str">
        <f>IF(('Val-Dép'!I40=""),"",'Val-Dép'!J40)</f>
        <v/>
      </c>
      <c r="I96" s="269"/>
      <c r="J96" s="268"/>
    </row>
    <row r="97" spans="1:14" ht="15" thickTop="1" thickBot="1" x14ac:dyDescent="0.3">
      <c r="A97" s="210">
        <v>41</v>
      </c>
      <c r="B97" s="267"/>
      <c r="C97" s="266"/>
      <c r="D97" s="265"/>
      <c r="E97" s="312" t="s">
        <v>126</v>
      </c>
      <c r="F97" s="4352">
        <f>IF(('Val-Dép'!AH41=""),"",VLOOKUP('Val-Dép'!AH41,'Val-Dép'!AH41:AM41,4,FALSE))</f>
        <v>0</v>
      </c>
      <c r="G97" s="4352"/>
      <c r="H97" s="4353"/>
      <c r="I97" s="264"/>
      <c r="J97" s="263"/>
    </row>
    <row r="98" spans="1:14" ht="14.4" thickBot="1" x14ac:dyDescent="0.3">
      <c r="B98" s="159"/>
      <c r="C98" s="191"/>
      <c r="D98" s="190">
        <v>550</v>
      </c>
      <c r="E98" s="226" t="s">
        <v>1576</v>
      </c>
      <c r="F98" s="225" t="s">
        <v>1575</v>
      </c>
      <c r="G98" s="275">
        <f>IF(('Val-Dép'!$AH$41=""),"",VLOOKUP('Val-Dép'!$AH$41,'Val-Dép'!AH41:AM41,3,FALSE))</f>
        <v>0</v>
      </c>
      <c r="H98" s="256"/>
      <c r="I98" s="255"/>
      <c r="J98" s="437">
        <f>IF('Val-Dép'!$AH$41="","",'Val-Dép'!$AM$41)</f>
        <v>0</v>
      </c>
    </row>
    <row r="99" spans="1:14" ht="14.4" thickBot="1" x14ac:dyDescent="0.3">
      <c r="B99" s="159"/>
      <c r="C99" s="191">
        <v>440</v>
      </c>
      <c r="D99" s="190"/>
      <c r="E99" s="226" t="s">
        <v>1574</v>
      </c>
      <c r="F99" s="275" t="str">
        <f>IF(('Val-Dép'!$B$41=""),"",VLOOKUP('Val-Dép'!$B$41,'Val-Dép'!B41:D41,2,FALSE))</f>
        <v/>
      </c>
      <c r="G99" s="387"/>
      <c r="H99" s="229"/>
      <c r="I99" s="437">
        <f>IF(('Val-Dép'!$B$41=" "),"",'Val-Dép'!$AF$41)</f>
        <v>0</v>
      </c>
      <c r="J99" s="253"/>
    </row>
    <row r="100" spans="1:14" ht="14.4" thickBot="1" x14ac:dyDescent="0.3">
      <c r="B100" s="252"/>
      <c r="C100" s="251"/>
      <c r="D100" s="250"/>
      <c r="E100" s="249" t="s">
        <v>1573</v>
      </c>
      <c r="F100" s="248" t="s">
        <v>1572</v>
      </c>
      <c r="G100" s="403" t="s">
        <v>1575</v>
      </c>
      <c r="H100" s="275" t="str">
        <f>IF(('Val-Dép'!I41=""),"",'Val-Dép'!J41)</f>
        <v/>
      </c>
      <c r="I100" s="247"/>
      <c r="J100" s="246"/>
      <c r="L100" s="137"/>
      <c r="M100" s="137"/>
      <c r="N100" s="137"/>
    </row>
    <row r="101" spans="1:14" ht="15" thickTop="1" thickBot="1" x14ac:dyDescent="0.3">
      <c r="A101" s="210">
        <v>42</v>
      </c>
      <c r="B101" s="262"/>
      <c r="C101" s="261"/>
      <c r="D101" s="260"/>
      <c r="E101" s="312" t="s">
        <v>126</v>
      </c>
      <c r="F101" s="4352">
        <f>IF(('Val-Dép'!AH42=""),"",VLOOKUP('Val-Dép'!AH42,'Val-Dép'!AH42:AM42,4,FALSE))</f>
        <v>0</v>
      </c>
      <c r="G101" s="4352"/>
      <c r="H101" s="4353"/>
      <c r="I101" s="259"/>
      <c r="J101" s="258"/>
      <c r="L101" s="257"/>
      <c r="M101" s="137"/>
      <c r="N101" s="137"/>
    </row>
    <row r="102" spans="1:14" ht="14.4" thickBot="1" x14ac:dyDescent="0.3">
      <c r="B102" s="254"/>
      <c r="C102" s="191"/>
      <c r="D102" s="190">
        <v>550</v>
      </c>
      <c r="E102" s="226" t="s">
        <v>1576</v>
      </c>
      <c r="F102" s="225" t="s">
        <v>1575</v>
      </c>
      <c r="G102" s="275">
        <f>IF(('Val-Dép'!$AH$42=""),"",VLOOKUP('Val-Dép'!$AH$42,'Val-Dép'!AH42:AM42,3,FALSE))</f>
        <v>0</v>
      </c>
      <c r="H102" s="256"/>
      <c r="I102" s="255"/>
      <c r="J102" s="437">
        <f>IF('Val-Dép'!$AH$42="","",'Val-Dép'!$AM$42)</f>
        <v>0</v>
      </c>
      <c r="K102" s="4354" t="s">
        <v>1726</v>
      </c>
      <c r="L102" s="4190"/>
    </row>
    <row r="103" spans="1:14" ht="14.4" thickBot="1" x14ac:dyDescent="0.3">
      <c r="B103" s="254"/>
      <c r="C103" s="191">
        <v>440</v>
      </c>
      <c r="D103" s="190"/>
      <c r="E103" s="226" t="s">
        <v>1574</v>
      </c>
      <c r="F103" s="275" t="str">
        <f>IF(('Val-Dép'!$B$42=""),"",VLOOKUP('Val-Dép'!$B$42,'Val-Dép'!B42:D42,2,FALSE))</f>
        <v/>
      </c>
      <c r="G103" s="387"/>
      <c r="H103" s="229"/>
      <c r="I103" s="437">
        <f>IF(('Val-Dép'!$B$42=" "),"",'Val-Dép'!$AF$42)</f>
        <v>0</v>
      </c>
      <c r="J103" s="253"/>
      <c r="K103" s="4354" t="s">
        <v>1908</v>
      </c>
      <c r="L103" s="4190"/>
    </row>
    <row r="104" spans="1:14" ht="14.4" thickBot="1" x14ac:dyDescent="0.3">
      <c r="B104" s="252"/>
      <c r="C104" s="251"/>
      <c r="D104" s="250"/>
      <c r="E104" s="249" t="s">
        <v>1573</v>
      </c>
      <c r="F104" s="248" t="s">
        <v>1572</v>
      </c>
      <c r="G104" s="403" t="s">
        <v>1575</v>
      </c>
      <c r="H104" s="275" t="str">
        <f>IF(('Val-Dép'!I42=""),"",'Val-Dép'!J42)</f>
        <v/>
      </c>
      <c r="I104" s="247"/>
      <c r="J104" s="246"/>
      <c r="K104" s="4354" t="s">
        <v>1909</v>
      </c>
      <c r="L104" s="4190"/>
    </row>
    <row r="105" spans="1:14" ht="15" thickTop="1" thickBot="1" x14ac:dyDescent="0.3">
      <c r="B105" s="422"/>
      <c r="C105" s="317"/>
      <c r="D105" s="317"/>
      <c r="E105" s="580"/>
      <c r="F105" s="244" t="s">
        <v>1559</v>
      </c>
      <c r="G105" s="244"/>
      <c r="H105" s="243">
        <f>(I105-J105)</f>
        <v>0</v>
      </c>
      <c r="I105" s="242">
        <f>SUM(I73:I104)</f>
        <v>0</v>
      </c>
      <c r="J105" s="242">
        <f>SUM(J73:J104)</f>
        <v>0</v>
      </c>
      <c r="K105" s="4190" t="s">
        <v>1727</v>
      </c>
      <c r="L105" s="4190"/>
    </row>
    <row r="106" spans="1:14" ht="18" thickTop="1" x14ac:dyDescent="0.3">
      <c r="A106" s="60"/>
      <c r="B106" s="581"/>
      <c r="C106" s="581"/>
      <c r="D106" s="581"/>
      <c r="E106" s="581"/>
      <c r="G106" s="418"/>
      <c r="H106" s="418"/>
      <c r="I106" s="418"/>
    </row>
    <row r="107" spans="1:14" ht="17.399999999999999" x14ac:dyDescent="0.25">
      <c r="E107" s="4355" t="s">
        <v>2086</v>
      </c>
      <c r="F107" s="4355"/>
      <c r="G107" s="4355"/>
      <c r="H107" s="4355"/>
      <c r="I107" s="4355"/>
    </row>
    <row r="108" spans="1:14" ht="17.399999999999999" x14ac:dyDescent="0.3">
      <c r="E108" s="4360" t="s">
        <v>1345</v>
      </c>
      <c r="F108" s="4360"/>
      <c r="G108" s="4360"/>
      <c r="H108" s="4360"/>
      <c r="I108" s="4360"/>
    </row>
  </sheetData>
  <mergeCells count="44">
    <mergeCell ref="B4:I4"/>
    <mergeCell ref="E108:I108"/>
    <mergeCell ref="E107:I107"/>
    <mergeCell ref="K53:L53"/>
    <mergeCell ref="K54:L54"/>
    <mergeCell ref="K55:L55"/>
    <mergeCell ref="K102:L102"/>
    <mergeCell ref="K103:L103"/>
    <mergeCell ref="K105:L105"/>
    <mergeCell ref="E68:H68"/>
    <mergeCell ref="K56:L56"/>
    <mergeCell ref="F73:H73"/>
    <mergeCell ref="F85:H85"/>
    <mergeCell ref="F89:H89"/>
    <mergeCell ref="F93:H93"/>
    <mergeCell ref="F97:H97"/>
    <mergeCell ref="F101:H101"/>
    <mergeCell ref="F77:H77"/>
    <mergeCell ref="F81:H81"/>
    <mergeCell ref="K104:L104"/>
    <mergeCell ref="D57:H57"/>
    <mergeCell ref="E71:H71"/>
    <mergeCell ref="E72:H72"/>
    <mergeCell ref="D58:H58"/>
    <mergeCell ref="B70:H70"/>
    <mergeCell ref="B66:G66"/>
    <mergeCell ref="E10:H10"/>
    <mergeCell ref="E11:H11"/>
    <mergeCell ref="I7:J7"/>
    <mergeCell ref="E8:H8"/>
    <mergeCell ref="B67:G67"/>
    <mergeCell ref="F12:H12"/>
    <mergeCell ref="F16:H16"/>
    <mergeCell ref="F20:H20"/>
    <mergeCell ref="F24:H24"/>
    <mergeCell ref="L13:O13"/>
    <mergeCell ref="F44:H44"/>
    <mergeCell ref="L14:O14"/>
    <mergeCell ref="F48:H48"/>
    <mergeCell ref="F52:H52"/>
    <mergeCell ref="F28:H28"/>
    <mergeCell ref="F32:H32"/>
    <mergeCell ref="F36:H36"/>
    <mergeCell ref="F40:H40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3:R29"/>
  <sheetViews>
    <sheetView topLeftCell="C10" zoomScaleNormal="100" workbookViewId="0">
      <selection activeCell="L22" sqref="L22"/>
    </sheetView>
  </sheetViews>
  <sheetFormatPr baseColWidth="10" defaultColWidth="11.44140625" defaultRowHeight="13.8" x14ac:dyDescent="0.25"/>
  <cols>
    <col min="1" max="1" width="3.44140625" style="378" customWidth="1"/>
    <col min="2" max="2" width="7.6640625" style="141" customWidth="1"/>
    <col min="3" max="3" width="8" style="381" customWidth="1"/>
    <col min="4" max="4" width="8.33203125" style="381" customWidth="1"/>
    <col min="5" max="5" width="9.88671875" style="141" customWidth="1"/>
    <col min="6" max="6" width="4.88671875" style="141" customWidth="1"/>
    <col min="7" max="7" width="12.6640625" style="141" customWidth="1"/>
    <col min="8" max="8" width="22" style="35" customWidth="1"/>
    <col min="9" max="9" width="40.5546875" style="141" customWidth="1"/>
    <col min="10" max="10" width="12.5546875" style="141" customWidth="1"/>
    <col min="11" max="11" width="13.44140625" style="141" customWidth="1"/>
    <col min="12" max="12" width="12" style="141" bestFit="1" customWidth="1"/>
    <col min="13" max="16384" width="11.44140625" style="141"/>
  </cols>
  <sheetData>
    <row r="3" spans="1:18" ht="20.399999999999999" x14ac:dyDescent="0.35">
      <c r="B3" s="4369" t="s">
        <v>2142</v>
      </c>
      <c r="C3" s="4370"/>
      <c r="D3" s="4370"/>
      <c r="E3" s="4370"/>
      <c r="F3" s="4370"/>
      <c r="G3" s="4370"/>
      <c r="H3" s="584">
        <f>'VAL-INIT'!E2</f>
        <v>10</v>
      </c>
      <c r="I3" s="583"/>
      <c r="K3" s="379" t="s">
        <v>1686</v>
      </c>
    </row>
    <row r="4" spans="1:18" ht="42" thickBot="1" x14ac:dyDescent="0.3">
      <c r="B4" s="241" t="s">
        <v>1353</v>
      </c>
      <c r="C4" s="241" t="s">
        <v>1352</v>
      </c>
      <c r="D4" s="241" t="s">
        <v>1351</v>
      </c>
      <c r="E4" s="4379" t="s">
        <v>1348</v>
      </c>
      <c r="F4" s="4380"/>
      <c r="J4" s="241" t="s">
        <v>1350</v>
      </c>
      <c r="K4" s="241" t="s">
        <v>1349</v>
      </c>
    </row>
    <row r="5" spans="1:18" ht="21" thickBot="1" x14ac:dyDescent="0.35">
      <c r="B5" s="237"/>
      <c r="C5" s="236"/>
      <c r="D5" s="236"/>
      <c r="E5" s="4354"/>
      <c r="F5" s="4267"/>
      <c r="G5" s="4386" t="s">
        <v>1568</v>
      </c>
      <c r="H5" s="4387"/>
      <c r="I5" s="586">
        <f>'VAL-INIT'!E2</f>
        <v>10</v>
      </c>
      <c r="J5" s="235"/>
      <c r="K5" s="234"/>
      <c r="L5" s="3"/>
      <c r="M5" s="46"/>
      <c r="N5" s="46"/>
      <c r="O5" s="46"/>
      <c r="P5" s="46"/>
      <c r="Q5" s="46"/>
      <c r="R5" s="3"/>
    </row>
    <row r="6" spans="1:18" ht="15.6" x14ac:dyDescent="0.3">
      <c r="B6" s="10"/>
      <c r="C6" s="172"/>
      <c r="D6" s="380"/>
      <c r="E6" s="4384" t="s">
        <v>212</v>
      </c>
      <c r="F6" s="4385"/>
      <c r="G6" s="209" t="s">
        <v>3</v>
      </c>
      <c r="H6" s="377"/>
      <c r="I6" s="314"/>
      <c r="J6" s="394"/>
      <c r="K6" s="231">
        <f>'Jour. Achats-ventes '!I45</f>
        <v>5750</v>
      </c>
      <c r="L6" s="4354" t="s">
        <v>2087</v>
      </c>
      <c r="M6" s="3889"/>
      <c r="N6" s="3889"/>
      <c r="O6" s="3889"/>
      <c r="P6" s="3889"/>
      <c r="Q6" s="46"/>
      <c r="R6" s="3"/>
    </row>
    <row r="7" spans="1:18" ht="15.6" x14ac:dyDescent="0.3">
      <c r="A7" s="378">
        <v>1</v>
      </c>
      <c r="B7" s="165"/>
      <c r="C7" s="164"/>
      <c r="D7" s="233"/>
      <c r="E7" s="4375" t="s">
        <v>1567</v>
      </c>
      <c r="F7" s="4381"/>
      <c r="G7" s="4399" t="str">
        <f>IF(('Val-Dép'!I35=""),"",VLOOKUP('Val-Dép'!I35,'Val-Dép'!I35:AB35,1,FALSE))</f>
        <v>Mobilier</v>
      </c>
      <c r="H7" s="4400"/>
      <c r="I7" s="232"/>
      <c r="J7" s="231">
        <f>'Jour. Achats-ventes '!H43</f>
        <v>5750</v>
      </c>
      <c r="K7" s="230"/>
      <c r="L7" s="4354" t="s">
        <v>2088</v>
      </c>
      <c r="M7" s="3889"/>
      <c r="N7" s="3889"/>
      <c r="O7" s="3889"/>
      <c r="P7" s="3889"/>
      <c r="Q7" s="3"/>
      <c r="R7" s="3"/>
    </row>
    <row r="8" spans="1:18" ht="15.6" x14ac:dyDescent="0.3">
      <c r="A8" s="378">
        <v>2</v>
      </c>
      <c r="B8" s="159"/>
      <c r="C8" s="158"/>
      <c r="D8" s="383"/>
      <c r="E8" s="4382" t="s">
        <v>1913</v>
      </c>
      <c r="F8" s="4383"/>
      <c r="G8" s="228" t="s">
        <v>1687</v>
      </c>
      <c r="I8" s="227"/>
      <c r="J8" s="231">
        <f>'Jour. Achats-ventes '!H44</f>
        <v>0</v>
      </c>
      <c r="K8" s="157"/>
      <c r="L8" s="4354" t="s">
        <v>2089</v>
      </c>
      <c r="M8" s="3889"/>
      <c r="N8" s="3889"/>
      <c r="O8" s="3889"/>
      <c r="P8" s="3889"/>
      <c r="Q8" s="3"/>
      <c r="R8" s="3"/>
    </row>
    <row r="9" spans="1:18" ht="14.4" thickBot="1" x14ac:dyDescent="0.3">
      <c r="B9" s="156"/>
      <c r="C9" s="155"/>
      <c r="D9" s="155"/>
      <c r="E9" s="4390" t="s">
        <v>1562</v>
      </c>
      <c r="F9" s="4391"/>
      <c r="G9" s="215" t="s">
        <v>1561</v>
      </c>
      <c r="H9" s="404" t="s">
        <v>212</v>
      </c>
      <c r="I9" s="214" t="s">
        <v>1566</v>
      </c>
      <c r="J9" s="213"/>
      <c r="K9" s="213"/>
      <c r="L9" s="579"/>
      <c r="M9" s="63"/>
      <c r="N9" s="63"/>
    </row>
    <row r="10" spans="1:18" ht="17.399999999999999" x14ac:dyDescent="0.3">
      <c r="B10" s="11"/>
      <c r="C10" s="382"/>
      <c r="D10" s="382"/>
      <c r="E10" s="4392" t="s">
        <v>1688</v>
      </c>
      <c r="F10" s="4393"/>
      <c r="G10" s="4366" t="s">
        <v>1571</v>
      </c>
      <c r="H10" s="4367"/>
      <c r="I10" s="585">
        <f>'VAL-INIT'!E2</f>
        <v>10</v>
      </c>
      <c r="J10" s="395"/>
      <c r="K10" s="41"/>
      <c r="L10" s="3"/>
      <c r="M10" s="46"/>
      <c r="N10" s="46"/>
      <c r="O10" s="46"/>
      <c r="P10" s="46"/>
      <c r="Q10" s="46"/>
      <c r="R10" s="3"/>
    </row>
    <row r="11" spans="1:18" x14ac:dyDescent="0.25">
      <c r="A11" s="378">
        <v>1</v>
      </c>
      <c r="B11" s="168"/>
      <c r="C11" s="167"/>
      <c r="D11" s="167"/>
      <c r="E11" s="4354" t="s">
        <v>0</v>
      </c>
      <c r="F11" s="4190"/>
      <c r="G11" s="35" t="s">
        <v>3</v>
      </c>
      <c r="H11" s="388"/>
      <c r="I11" s="239"/>
      <c r="J11" s="231">
        <f>'Jour. Achats-ventes '!H104</f>
        <v>0</v>
      </c>
      <c r="L11" s="3"/>
      <c r="M11" s="7"/>
      <c r="N11" s="45"/>
      <c r="O11" s="45"/>
      <c r="P11" s="3"/>
      <c r="Q11" s="3"/>
      <c r="R11" s="3"/>
    </row>
    <row r="12" spans="1:18" x14ac:dyDescent="0.25">
      <c r="A12" s="378">
        <v>2</v>
      </c>
      <c r="B12" s="159"/>
      <c r="C12" s="158"/>
      <c r="D12" s="158"/>
      <c r="E12" s="4375" t="s">
        <v>1570</v>
      </c>
      <c r="F12" s="4381"/>
      <c r="G12" s="388"/>
      <c r="H12" s="388"/>
      <c r="I12" s="238"/>
      <c r="J12" s="159"/>
      <c r="K12" s="231">
        <f>'Jour. Achats-ventes '!I102</f>
        <v>0</v>
      </c>
      <c r="L12" s="3"/>
      <c r="M12" s="7"/>
      <c r="N12" s="45"/>
      <c r="O12" s="45"/>
      <c r="P12" s="45"/>
      <c r="Q12" s="3"/>
      <c r="R12" s="3"/>
    </row>
    <row r="13" spans="1:18" x14ac:dyDescent="0.25">
      <c r="A13" s="378">
        <v>3</v>
      </c>
      <c r="B13" s="159"/>
      <c r="C13" s="158"/>
      <c r="D13" s="158"/>
      <c r="E13" s="4375" t="s">
        <v>1569</v>
      </c>
      <c r="F13" s="4376"/>
      <c r="G13" s="239" t="s">
        <v>1912</v>
      </c>
      <c r="H13" s="388"/>
      <c r="I13" s="238"/>
      <c r="J13" s="159"/>
      <c r="K13" s="231">
        <f>'Jour. Achats-ventes '!I103</f>
        <v>0</v>
      </c>
      <c r="L13" s="3"/>
      <c r="M13" s="4190" t="s">
        <v>1616</v>
      </c>
      <c r="N13" s="4190"/>
      <c r="O13" s="46"/>
      <c r="P13" s="46"/>
      <c r="Q13" s="240"/>
      <c r="R13" s="46"/>
    </row>
    <row r="14" spans="1:18" ht="14.4" thickBot="1" x14ac:dyDescent="0.3">
      <c r="B14" s="156"/>
      <c r="C14" s="155"/>
      <c r="D14" s="155"/>
      <c r="E14" s="216" t="s">
        <v>1562</v>
      </c>
      <c r="G14" s="215" t="s">
        <v>1561</v>
      </c>
      <c r="H14" s="404" t="s">
        <v>0</v>
      </c>
      <c r="I14" s="214" t="s">
        <v>205</v>
      </c>
      <c r="J14" s="213"/>
      <c r="K14" s="213"/>
      <c r="L14" s="3"/>
      <c r="M14" s="4190" t="s">
        <v>1617</v>
      </c>
      <c r="N14" s="4190"/>
      <c r="O14" s="4190"/>
      <c r="P14" s="46"/>
      <c r="Q14" s="46"/>
      <c r="R14" s="3"/>
    </row>
    <row r="15" spans="1:18" ht="21" thickBot="1" x14ac:dyDescent="0.4">
      <c r="B15" s="223"/>
      <c r="C15" s="222"/>
      <c r="D15" s="222"/>
      <c r="F15" s="396"/>
      <c r="G15" s="2109" t="s">
        <v>1689</v>
      </c>
      <c r="H15" s="396"/>
      <c r="I15" s="587">
        <f>'VAL-INIT'!E2</f>
        <v>10</v>
      </c>
      <c r="J15" s="397" t="s">
        <v>1565</v>
      </c>
      <c r="K15" s="221" t="s">
        <v>1564</v>
      </c>
    </row>
    <row r="16" spans="1:18" ht="15.6" x14ac:dyDescent="0.3">
      <c r="B16" s="165"/>
      <c r="C16" s="164"/>
      <c r="D16" s="164"/>
      <c r="E16" s="4377" t="s">
        <v>1915</v>
      </c>
      <c r="F16" s="4378"/>
      <c r="G16" s="4378"/>
      <c r="H16" s="4378"/>
      <c r="I16" s="220" t="s">
        <v>1563</v>
      </c>
      <c r="J16" s="231">
        <f>'Gr liv ACT-PAS'!Q151</f>
        <v>0</v>
      </c>
      <c r="K16" s="219"/>
      <c r="L16" s="4396" t="s">
        <v>1937</v>
      </c>
      <c r="M16" s="4397"/>
      <c r="N16" s="4397"/>
      <c r="O16" s="4397"/>
      <c r="P16" s="4398"/>
    </row>
    <row r="17" spans="1:17" ht="15.6" x14ac:dyDescent="0.3">
      <c r="B17" s="159"/>
      <c r="C17" s="158"/>
      <c r="D17" s="158"/>
      <c r="E17" s="4375" t="s">
        <v>1916</v>
      </c>
      <c r="F17" s="4376"/>
      <c r="G17" s="4376"/>
      <c r="H17" s="4376"/>
      <c r="I17" s="218" t="s">
        <v>1563</v>
      </c>
      <c r="J17" s="217"/>
      <c r="K17" s="231">
        <f>'Gr liv ACT-PAS'!D114</f>
        <v>0</v>
      </c>
      <c r="L17" s="4396" t="s">
        <v>1938</v>
      </c>
      <c r="M17" s="4397"/>
      <c r="N17" s="4397"/>
      <c r="O17" s="4397"/>
      <c r="P17" s="4398"/>
    </row>
    <row r="18" spans="1:17" x14ac:dyDescent="0.25">
      <c r="B18" s="159"/>
      <c r="C18" s="158"/>
      <c r="D18" s="158"/>
      <c r="E18" s="4375" t="s">
        <v>1914</v>
      </c>
      <c r="F18" s="4376"/>
      <c r="G18" s="4376"/>
      <c r="H18" s="4376"/>
      <c r="I18" s="218" t="s">
        <v>1563</v>
      </c>
      <c r="J18" s="589">
        <f>IF(J16&lt;K17,K17-J16,0)</f>
        <v>0</v>
      </c>
      <c r="K18" s="217">
        <f>IF(J16&gt;K17,J16-K17,0)</f>
        <v>0</v>
      </c>
      <c r="L18" s="4372" t="s">
        <v>1690</v>
      </c>
      <c r="M18" s="4373"/>
      <c r="N18" s="4373"/>
      <c r="O18" s="4373"/>
      <c r="P18" s="4374"/>
    </row>
    <row r="19" spans="1:17" ht="14.4" thickBot="1" x14ac:dyDescent="0.3">
      <c r="A19" s="141"/>
      <c r="B19" s="156"/>
      <c r="C19" s="155"/>
      <c r="D19" s="155"/>
      <c r="E19" s="216" t="s">
        <v>1562</v>
      </c>
      <c r="F19" s="4394" t="s">
        <v>1561</v>
      </c>
      <c r="G19" s="4394"/>
      <c r="I19" s="214" t="s">
        <v>1560</v>
      </c>
      <c r="J19" s="213"/>
      <c r="L19" s="40"/>
      <c r="M19" s="4401" t="s">
        <v>1936</v>
      </c>
      <c r="N19" s="4401"/>
      <c r="O19" s="4401"/>
      <c r="P19" s="41"/>
    </row>
    <row r="20" spans="1:17" ht="14.4" thickBot="1" x14ac:dyDescent="0.3">
      <c r="A20" s="141"/>
      <c r="B20" s="11"/>
      <c r="C20" s="382"/>
      <c r="D20" s="382"/>
      <c r="E20" s="117"/>
      <c r="F20" s="212"/>
      <c r="G20" s="212"/>
      <c r="H20" s="211"/>
      <c r="I20" s="211"/>
      <c r="J20" s="154">
        <f>SUM(J6:J9,J11:J14,J16:J19)</f>
        <v>5750</v>
      </c>
      <c r="K20" s="213">
        <f>SUM(K6:K9,K12:K14,K16:K19)</f>
        <v>5750</v>
      </c>
    </row>
    <row r="21" spans="1:17" ht="17.399999999999999" x14ac:dyDescent="0.3">
      <c r="A21" s="141"/>
      <c r="D21" s="4395" t="s">
        <v>1345</v>
      </c>
      <c r="E21" s="4395"/>
      <c r="F21" s="4395"/>
      <c r="G21" s="4395"/>
      <c r="H21" s="4395"/>
      <c r="I21" s="4371" t="s">
        <v>1558</v>
      </c>
      <c r="J21" s="4371"/>
      <c r="L21" s="7"/>
      <c r="M21" s="135"/>
      <c r="N21" s="135"/>
      <c r="O21" s="135"/>
      <c r="P21" s="135"/>
      <c r="Q21" s="135"/>
    </row>
    <row r="22" spans="1:17" x14ac:dyDescent="0.25">
      <c r="A22" s="141"/>
      <c r="C22" s="35"/>
      <c r="D22" s="35"/>
      <c r="E22" s="35"/>
      <c r="F22" s="35"/>
      <c r="G22" s="35"/>
      <c r="I22" s="4388"/>
      <c r="J22" s="4388"/>
      <c r="L22" s="7"/>
      <c r="M22" s="135"/>
      <c r="N22" s="135"/>
      <c r="O22" s="135"/>
      <c r="P22" s="135"/>
      <c r="Q22" s="7"/>
    </row>
    <row r="23" spans="1:17" x14ac:dyDescent="0.25">
      <c r="A23" s="141"/>
      <c r="C23" s="35"/>
      <c r="D23" s="35"/>
      <c r="E23" s="4389"/>
      <c r="F23" s="4389"/>
      <c r="G23" s="4389"/>
      <c r="H23" s="4389"/>
      <c r="I23" s="47"/>
      <c r="J23" s="35"/>
      <c r="L23" s="7"/>
      <c r="M23" s="7"/>
      <c r="N23" s="7"/>
      <c r="O23" s="7"/>
      <c r="P23" s="7"/>
      <c r="Q23" s="7"/>
    </row>
    <row r="24" spans="1:17" ht="15.6" x14ac:dyDescent="0.3">
      <c r="A24" s="141"/>
      <c r="C24" s="35"/>
      <c r="D24" s="35"/>
      <c r="E24" s="35"/>
      <c r="F24" s="35"/>
      <c r="G24" s="35"/>
      <c r="H24" s="4368" t="s">
        <v>2143</v>
      </c>
      <c r="I24" s="4368"/>
      <c r="J24" s="588" t="e">
        <f>'Gr liv ACT-PAS'!#REF!</f>
        <v>#REF!</v>
      </c>
      <c r="K24" s="4085" t="s">
        <v>1706</v>
      </c>
      <c r="L24" s="4085"/>
    </row>
    <row r="25" spans="1:17" x14ac:dyDescent="0.25">
      <c r="A25" s="141"/>
      <c r="C25" s="35"/>
      <c r="D25" s="35"/>
      <c r="E25" s="35"/>
      <c r="F25" s="35"/>
      <c r="G25" s="590"/>
      <c r="H25" s="590"/>
      <c r="I25" s="590"/>
      <c r="J25" s="590"/>
    </row>
    <row r="26" spans="1:17" ht="18" x14ac:dyDescent="0.35">
      <c r="A26" s="141"/>
      <c r="C26" s="35"/>
      <c r="D26" s="35"/>
      <c r="E26" s="35"/>
      <c r="F26" s="4365" t="s">
        <v>2146</v>
      </c>
      <c r="G26" s="4365"/>
      <c r="H26" s="4365"/>
      <c r="I26" s="4365"/>
      <c r="J26" s="4365"/>
      <c r="K26" s="4365"/>
      <c r="L26" s="4365"/>
      <c r="M26" s="4365"/>
      <c r="N26" s="4365"/>
      <c r="O26" s="4365"/>
      <c r="P26" s="35"/>
    </row>
    <row r="27" spans="1:17" x14ac:dyDescent="0.25">
      <c r="A27" s="141"/>
      <c r="C27" s="35"/>
      <c r="D27" s="35"/>
      <c r="E27" s="35"/>
    </row>
    <row r="28" spans="1:17" x14ac:dyDescent="0.25">
      <c r="A28" s="141"/>
      <c r="C28" s="35"/>
      <c r="D28" s="35"/>
      <c r="E28" s="35"/>
      <c r="F28" s="35"/>
      <c r="G28" s="35"/>
      <c r="I28" s="35"/>
      <c r="J28" s="35"/>
    </row>
    <row r="29" spans="1:17" x14ac:dyDescent="0.25">
      <c r="A29" s="141"/>
      <c r="C29" s="35"/>
      <c r="D29" s="35"/>
      <c r="E29" s="35"/>
      <c r="F29" s="35"/>
      <c r="G29" s="35"/>
    </row>
  </sheetData>
  <mergeCells count="34">
    <mergeCell ref="L16:P16"/>
    <mergeCell ref="L17:P17"/>
    <mergeCell ref="G7:H7"/>
    <mergeCell ref="E11:F11"/>
    <mergeCell ref="M19:O19"/>
    <mergeCell ref="L8:P8"/>
    <mergeCell ref="I22:J22"/>
    <mergeCell ref="E23:H23"/>
    <mergeCell ref="E9:F9"/>
    <mergeCell ref="E10:F10"/>
    <mergeCell ref="E12:F12"/>
    <mergeCell ref="F19:G19"/>
    <mergeCell ref="D21:H21"/>
    <mergeCell ref="E6:F6"/>
    <mergeCell ref="E5:F5"/>
    <mergeCell ref="G5:H5"/>
    <mergeCell ref="L6:P6"/>
    <mergeCell ref="L7:P7"/>
    <mergeCell ref="F26:O26"/>
    <mergeCell ref="G10:H10"/>
    <mergeCell ref="K24:L24"/>
    <mergeCell ref="H24:I24"/>
    <mergeCell ref="B3:G3"/>
    <mergeCell ref="I21:J21"/>
    <mergeCell ref="M13:N13"/>
    <mergeCell ref="M14:O14"/>
    <mergeCell ref="L18:P18"/>
    <mergeCell ref="E13:F13"/>
    <mergeCell ref="E16:H16"/>
    <mergeCell ref="E17:H17"/>
    <mergeCell ref="E18:H18"/>
    <mergeCell ref="E4:F4"/>
    <mergeCell ref="E7:F7"/>
    <mergeCell ref="E8:F8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C1:R83"/>
  <sheetViews>
    <sheetView topLeftCell="C21" zoomScale="115" zoomScaleNormal="115" zoomScalePageLayoutView="190" workbookViewId="0">
      <selection activeCell="M65" sqref="M65"/>
    </sheetView>
  </sheetViews>
  <sheetFormatPr baseColWidth="10" defaultRowHeight="9.9" customHeight="1" x14ac:dyDescent="0.25"/>
  <cols>
    <col min="1" max="1" width="3" customWidth="1"/>
    <col min="2" max="2" width="1.5546875" customWidth="1"/>
    <col min="3" max="3" width="3.109375" customWidth="1"/>
    <col min="4" max="4" width="13.88671875" customWidth="1"/>
    <col min="5" max="5" width="14.5546875" customWidth="1"/>
    <col min="6" max="6" width="3.44140625" customWidth="1"/>
    <col min="7" max="7" width="1.109375" customWidth="1"/>
    <col min="8" max="8" width="3.5546875" customWidth="1"/>
    <col min="9" max="9" width="14.44140625" customWidth="1"/>
    <col min="10" max="10" width="12.88671875" customWidth="1"/>
    <col min="11" max="11" width="3.44140625" customWidth="1"/>
    <col min="12" max="12" width="1.109375" customWidth="1"/>
    <col min="13" max="13" width="3.44140625" customWidth="1"/>
    <col min="14" max="14" width="14.44140625" customWidth="1"/>
    <col min="15" max="15" width="15.33203125" customWidth="1"/>
    <col min="16" max="16" width="3.88671875" customWidth="1"/>
    <col min="17" max="17" width="6.5546875" customWidth="1"/>
    <col min="18" max="18" width="16.109375" customWidth="1"/>
  </cols>
  <sheetData>
    <row r="1" spans="3:18" s="360" customFormat="1" ht="15" customHeight="1" x14ac:dyDescent="0.25"/>
    <row r="2" spans="3:18" s="360" customFormat="1" ht="15" customHeight="1" x14ac:dyDescent="0.25">
      <c r="D2" s="4413" t="s">
        <v>1654</v>
      </c>
      <c r="E2" s="4413"/>
      <c r="I2" s="4414" t="s">
        <v>1655</v>
      </c>
      <c r="J2" s="4415"/>
      <c r="N2" s="4414" t="s">
        <v>1656</v>
      </c>
      <c r="O2" s="4415"/>
    </row>
    <row r="3" spans="3:18" s="360" customFormat="1" ht="15" customHeight="1" thickBot="1" x14ac:dyDescent="0.3">
      <c r="C3" s="361"/>
      <c r="D3" s="361">
        <v>400</v>
      </c>
      <c r="E3" s="361" t="s">
        <v>1629</v>
      </c>
      <c r="F3" s="361"/>
      <c r="H3" s="361"/>
      <c r="I3" s="361">
        <v>400</v>
      </c>
      <c r="J3" s="361" t="s">
        <v>1629</v>
      </c>
      <c r="K3" s="361"/>
      <c r="M3" s="361"/>
      <c r="N3" s="361">
        <v>400</v>
      </c>
      <c r="O3" s="361" t="s">
        <v>1629</v>
      </c>
      <c r="P3" s="361"/>
    </row>
    <row r="4" spans="3:18" s="360" customFormat="1" ht="15" customHeight="1" x14ac:dyDescent="0.25">
      <c r="C4" s="360" t="s">
        <v>1643</v>
      </c>
      <c r="D4" s="369">
        <f>IF(ISNA(VLOOKUP($E$3,'VAL-INIT'!D10:F90,2,FALSE)),,VLOOKUP($E$3,'VAL-INIT'!D10:F90,2,FALSE))</f>
        <v>0</v>
      </c>
      <c r="E4" s="370"/>
      <c r="I4" s="369"/>
      <c r="J4" s="370"/>
      <c r="N4" s="369"/>
      <c r="O4" s="370"/>
    </row>
    <row r="5" spans="3:18" s="360" customFormat="1" ht="15" customHeight="1" x14ac:dyDescent="0.25">
      <c r="D5" s="368" t="str">
        <f>IF(AND( 'Val-Dép'!H13="Banque", 'Val-Dép'!I13&lt;&gt;"note de crédit"),VLOOKUP('Val-Dép'!H13,'Val-Dép'!H13:Y13,15,FALSE ),"0")</f>
        <v>0</v>
      </c>
      <c r="E5" s="368" t="str">
        <f>IF(AND( 'Val-Dép'!H13="Banque", 'Val-Dép'!I13&lt;&gt;"note de crédit"),VLOOKUP('Val-Dép'!AA13,'Val-Dép'!AA13:AF13,6,FALSE ),"0")</f>
        <v>0</v>
      </c>
      <c r="I5" s="368" t="str">
        <f>IF(AND( 'Val-Dép'!H13="Bq post", 'Val-Dép'!I13&lt;&gt;"note de crédit"),VLOOKUP('Val-Dép'!H13,'Val-Dép'!H13:Y13,15,FALSE ),"0")</f>
        <v>0</v>
      </c>
      <c r="J5" s="368" t="str">
        <f>IF(AND( 'Val-Dép'!H13="Bq post", 'Val-Dép'!I13&lt;&gt;"note de crédit"),VLOOKUP('Val-Dép'!AA13,'Val-Dép'!AA13:AF13,6,FALSE ),"0")</f>
        <v>0</v>
      </c>
      <c r="N5" s="368" t="str">
        <f>IF(AND( 'Val-Dép'!H13="Caisse", 'Val-Dép'!I13&lt;&gt;"note de crédit"),VLOOKUP('Val-Dép'!H13,'Val-Dép'!H13:Y13,15,FALSE ),"0")</f>
        <v>0</v>
      </c>
      <c r="O5" s="368" t="str">
        <f>IF(AND( 'Val-Dép'!H13="Caisse", 'Val-Dép'!I13&lt;&gt;"note de crédit"),VLOOKUP('Val-Dép'!AA13,'Val-Dép'!AA13:AF13,6,FALSE ),"0")</f>
        <v>0</v>
      </c>
    </row>
    <row r="6" spans="3:18" s="360" customFormat="1" ht="15" customHeight="1" x14ac:dyDescent="0.25">
      <c r="D6" s="368" t="str">
        <f>IF(AND( 'Val-Dép'!H14="Banque", 'Val-Dép'!I14&lt;&gt;"note de crédit"),VLOOKUP('Val-Dép'!H14,'Val-Dép'!H14:Y14,15,FALSE ),"0")</f>
        <v>0</v>
      </c>
      <c r="E6" s="368" t="str">
        <f>IF(AND( 'Val-Dép'!H14="Banque", 'Val-Dép'!I14&lt;&gt;"note de crédit"),VLOOKUP('Val-Dép'!AA14,'Val-Dép'!AA14:AF14,6,FALSE ),"0")</f>
        <v>0</v>
      </c>
      <c r="I6" s="368" t="str">
        <f>IF(AND( 'Val-Dép'!H14="Bq post", 'Val-Dép'!I14&lt;&gt;"note de crédit"),VLOOKUP('Val-Dép'!H14,'Val-Dép'!H14:Y14,15,FALSE ),"0")</f>
        <v>0</v>
      </c>
      <c r="J6" s="368" t="str">
        <f>IF(AND( 'Val-Dép'!H14="Bq post", 'Val-Dép'!I14&lt;&gt;"note de crédit"),VLOOKUP('Val-Dép'!AA14,'Val-Dép'!AA14:AF14,6,FALSE ),"0")</f>
        <v>0</v>
      </c>
      <c r="N6" s="368" t="str">
        <f>IF(AND( 'Val-Dép'!H14="Caisse", 'Val-Dép'!I14&lt;&gt;"note de crédit"),VLOOKUP('Val-Dép'!H14,'Val-Dép'!H14:Y14,15,FALSE ),"0")</f>
        <v>0</v>
      </c>
      <c r="O6" s="368" t="str">
        <f>IF(AND( 'Val-Dép'!H14="Caisse", 'Val-Dép'!I14&lt;&gt;"note de crédit"),VLOOKUP('Val-Dép'!AA14,'Val-Dép'!AA14:AF14,6,FALSE ),"0")</f>
        <v>0</v>
      </c>
    </row>
    <row r="7" spans="3:18" s="360" customFormat="1" ht="15" customHeight="1" x14ac:dyDescent="0.25">
      <c r="D7" s="368" t="str">
        <f>IF(AND( 'Val-Dép'!H15="Banque", 'Val-Dép'!I15&lt;&gt;"note de crédit"),VLOOKUP('Val-Dép'!H15,'Val-Dép'!H15:Y15,15,FALSE ),"0")</f>
        <v>0</v>
      </c>
      <c r="E7" s="368" t="str">
        <f>IF(AND( 'Val-Dép'!H15="Banque", 'Val-Dép'!I15&lt;&gt;"note de crédit"),VLOOKUP('Val-Dép'!AA15,'Val-Dép'!AA15:AF15,6,FALSE ),"0")</f>
        <v>0</v>
      </c>
      <c r="I7" s="368" t="str">
        <f>IF(AND( 'Val-Dép'!H15="Bq post", 'Val-Dép'!I15&lt;&gt;"note de crédit"),VLOOKUP('Val-Dép'!H15,'Val-Dép'!H15:Y15,15,FALSE ),"0")</f>
        <v>0</v>
      </c>
      <c r="J7" s="368" t="str">
        <f>IF(AND( 'Val-Dép'!H15="Bq post", 'Val-Dép'!I15&lt;&gt;"note de crédit"),VLOOKUP('Val-Dép'!AA15,'Val-Dép'!AA15:AF15,6,FALSE ),"0")</f>
        <v>0</v>
      </c>
      <c r="N7" s="368" t="str">
        <f>IF(AND( 'Val-Dép'!H15="Caisse", 'Val-Dép'!I15&lt;&gt;"note de crédit"),VLOOKUP('Val-Dép'!H15,'Val-Dép'!H15:Y15,15,FALSE ),"0")</f>
        <v>0</v>
      </c>
      <c r="O7" s="368" t="str">
        <f>IF(AND( 'Val-Dép'!H15="Caisse", 'Val-Dép'!I15&lt;&gt;"note de crédit"),VLOOKUP('Val-Dép'!AA15,'Val-Dép'!AA15:AF15,6,FALSE ),"0")</f>
        <v>0</v>
      </c>
    </row>
    <row r="8" spans="3:18" s="360" customFormat="1" ht="15" customHeight="1" x14ac:dyDescent="0.25">
      <c r="D8" s="368" t="str">
        <f>IF(AND( 'Val-Dép'!H16="Banque", 'Val-Dép'!I16&lt;&gt;"note de crédit"),VLOOKUP('Val-Dép'!H16,'Val-Dép'!H16:Y16,15,FALSE ),"0")</f>
        <v>0</v>
      </c>
      <c r="E8" s="368" t="str">
        <f>IF(AND( 'Val-Dép'!H16="Banque", 'Val-Dép'!I16&lt;&gt;"note de crédit"),VLOOKUP('Val-Dép'!AA16,'Val-Dép'!AA16:AF16,6,FALSE ),"0")</f>
        <v>0</v>
      </c>
      <c r="I8" s="368" t="str">
        <f>IF(AND( 'Val-Dép'!H16="Bq post", 'Val-Dép'!I16&lt;&gt;"note de crédit"),VLOOKUP('Val-Dép'!H16,'Val-Dép'!H16:Y16,15,FALSE ),"0")</f>
        <v>0</v>
      </c>
      <c r="J8" s="368" t="str">
        <f>IF(AND( 'Val-Dép'!H16="Bq post", 'Val-Dép'!I16&lt;&gt;"note de crédit"),VLOOKUP('Val-Dép'!AA16,'Val-Dép'!AA16:AF16,6,FALSE ),"0")</f>
        <v>0</v>
      </c>
      <c r="N8" s="368" t="str">
        <f>IF(AND( 'Val-Dép'!H16="Caisse", 'Val-Dép'!I16&lt;&gt;"note de crédit"),VLOOKUP('Val-Dép'!H16,'Val-Dép'!H16:Y16,15,FALSE ),"0")</f>
        <v>0</v>
      </c>
      <c r="O8" s="368" t="str">
        <f>IF(AND( 'Val-Dép'!H16="Caisse", 'Val-Dép'!I16&lt;&gt;"note de crédit"),VLOOKUP('Val-Dép'!AA16,'Val-Dép'!AA16:AF16,6,FALSE ),"0")</f>
        <v>0</v>
      </c>
    </row>
    <row r="9" spans="3:18" s="360" customFormat="1" ht="15" customHeight="1" x14ac:dyDescent="0.25">
      <c r="D9" s="368" t="str">
        <f>IF(AND( 'Val-Dép'!H17="Banque", 'Val-Dép'!I17&lt;&gt;"note de crédit"),VLOOKUP('Val-Dép'!H17,'Val-Dép'!H17:Y17,15,FALSE ),"0")</f>
        <v>0</v>
      </c>
      <c r="E9" s="368" t="str">
        <f>IF(AND( 'Val-Dép'!H17="Banque", 'Val-Dép'!I17&lt;&gt;"note de crédit"),VLOOKUP('Val-Dép'!AA17,'Val-Dép'!AA17:AF17,6,FALSE ),"0")</f>
        <v>0</v>
      </c>
      <c r="I9" s="368" t="str">
        <f>IF(AND( 'Val-Dép'!H17="Bq post", 'Val-Dép'!I17&lt;&gt;"note de crédit"),VLOOKUP('Val-Dép'!H17,'Val-Dép'!H17:Y17,15,FALSE ),"0")</f>
        <v>0</v>
      </c>
      <c r="J9" s="368" t="str">
        <f>IF(AND( 'Val-Dép'!H17="Bq post", 'Val-Dép'!I17&lt;&gt;"note de crédit"),VLOOKUP('Val-Dép'!AA17,'Val-Dép'!AA17:AF17,6,FALSE ),"0")</f>
        <v>0</v>
      </c>
      <c r="N9" s="368" t="str">
        <f>IF(AND( 'Val-Dép'!H17="Caisse", 'Val-Dép'!I17&lt;&gt;"note de crédit"),VLOOKUP('Val-Dép'!H17,'Val-Dép'!H17:Y17,15,FALSE ),"0")</f>
        <v>0</v>
      </c>
      <c r="O9" s="368" t="str">
        <f>IF(AND( 'Val-Dép'!H17="Caisse", 'Val-Dép'!I17&lt;&gt;"note de crédit"),VLOOKUP('Val-Dép'!AA17,'Val-Dép'!AA17:AF17,6,FALSE ),"0")</f>
        <v>0</v>
      </c>
    </row>
    <row r="10" spans="3:18" s="360" customFormat="1" ht="15" customHeight="1" x14ac:dyDescent="0.25">
      <c r="D10" s="368" t="str">
        <f>IF(AND( 'Val-Dép'!H18="Banque", 'Val-Dép'!I18&lt;&gt;"note de crédit"),VLOOKUP('Val-Dép'!H18,'Val-Dép'!H18:Y18,15,FALSE ),"0")</f>
        <v>0</v>
      </c>
      <c r="E10" s="368" t="str">
        <f>IF(AND( 'Val-Dép'!H18="Banque", 'Val-Dép'!I18&lt;&gt;"note de crédit"),VLOOKUP('Val-Dép'!AA18,'Val-Dép'!AA18:AF18,6,FALSE ),"0")</f>
        <v>0</v>
      </c>
      <c r="I10" s="368" t="str">
        <f>IF(AND( 'Val-Dép'!H18="Bq post", 'Val-Dép'!I18&lt;&gt;"note de crédit"),VLOOKUP('Val-Dép'!H18,'Val-Dép'!H18:Y18,15,FALSE ),"0")</f>
        <v>0</v>
      </c>
      <c r="J10" s="368" t="str">
        <f>IF(AND( 'Val-Dép'!H18="Bq post", 'Val-Dép'!I18&lt;&gt;"note de crédit"),VLOOKUP('Val-Dép'!AA18,'Val-Dép'!AA18:AF18,6,FALSE ),"0")</f>
        <v>0</v>
      </c>
      <c r="N10" s="368" t="str">
        <f>IF(AND( 'Val-Dép'!H18="Caisse", 'Val-Dép'!I18&lt;&gt;"note de crédit"),VLOOKUP('Val-Dép'!H18,'Val-Dép'!H18:Y18,15,FALSE ),"0")</f>
        <v>0</v>
      </c>
      <c r="O10" s="368" t="str">
        <f>IF(AND( 'Val-Dép'!H18="Caisse", 'Val-Dép'!I18&lt;&gt;"note de crédit"),VLOOKUP('Val-Dép'!AA18,'Val-Dép'!AA18:AF18,6,FALSE ),"0")</f>
        <v>0</v>
      </c>
    </row>
    <row r="11" spans="3:18" s="360" customFormat="1" ht="15" customHeight="1" x14ac:dyDescent="0.25">
      <c r="D11" s="368" t="str">
        <f>IF(AND( 'Val-Dép'!H19="Banque", 'Val-Dép'!I19&lt;&gt;"note de crédit"),VLOOKUP('Val-Dép'!H19,'Val-Dép'!H19:Y19,15,FALSE ),"0")</f>
        <v>0</v>
      </c>
      <c r="E11" s="368" t="str">
        <f>IF(AND( 'Val-Dép'!H19="Banque", 'Val-Dép'!I19&lt;&gt;"note de crédit"),VLOOKUP('Val-Dép'!AA19,'Val-Dép'!AA19:AF19,6,FALSE ),"0")</f>
        <v>0</v>
      </c>
      <c r="I11" s="368" t="str">
        <f>IF(AND( 'Val-Dép'!H19="Bq post", 'Val-Dép'!I19&lt;&gt;"note de crédit"),VLOOKUP('Val-Dép'!H19,'Val-Dép'!H19:Y19,15,FALSE ),"0")</f>
        <v>0</v>
      </c>
      <c r="J11" s="368" t="str">
        <f>IF(AND( 'Val-Dép'!H19="Bq post", 'Val-Dép'!I19&lt;&gt;"note de crédit"),VLOOKUP('Val-Dép'!AA19,'Val-Dép'!AA19:AF19,6,FALSE ),"0")</f>
        <v>0</v>
      </c>
      <c r="N11" s="368" t="str">
        <f>IF(AND( 'Val-Dép'!H19="Caisse", 'Val-Dép'!I19&lt;&gt;"note de crédit"),VLOOKUP('Val-Dép'!H19,'Val-Dép'!H19:Y19,15,FALSE ),"0")</f>
        <v>0</v>
      </c>
      <c r="O11" s="368" t="str">
        <f>IF(AND( 'Val-Dép'!H19="Caisse", 'Val-Dép'!I19&lt;&gt;"note de crédit"),VLOOKUP('Val-Dép'!AA19,'Val-Dép'!AA19:AF19,6,FALSE ),"0")</f>
        <v>0</v>
      </c>
    </row>
    <row r="12" spans="3:18" s="360" customFormat="1" ht="15" customHeight="1" x14ac:dyDescent="0.25">
      <c r="D12" s="368" t="str">
        <f>IF(AND( 'Val-Dép'!H20="Banque", 'Val-Dép'!I20&lt;&gt;"note de crédit"),VLOOKUP('Val-Dép'!H20,'Val-Dép'!H20:Y20,15,FALSE ),"0")</f>
        <v>0</v>
      </c>
      <c r="E12" s="368" t="str">
        <f>IF(AND( 'Val-Dép'!H20="Banque", 'Val-Dép'!I20&lt;&gt;"note de crédit"),VLOOKUP('Val-Dép'!AA20,'Val-Dép'!AA20:AF20,6,FALSE ),"0")</f>
        <v>0</v>
      </c>
      <c r="I12" s="368" t="str">
        <f>IF(AND( 'Val-Dép'!H20="Bq post", 'Val-Dép'!I20&lt;&gt;"note de crédit"),VLOOKUP('Val-Dép'!H20,'Val-Dép'!H20:Y20,15,FALSE ),"0")</f>
        <v>0</v>
      </c>
      <c r="J12" s="368" t="str">
        <f>IF(AND( 'Val-Dép'!H20="Bq post", 'Val-Dép'!I20&lt;&gt;"note de crédit"),VLOOKUP('Val-Dép'!AA20,'Val-Dép'!AA20:AF20,6,FALSE ),"0")</f>
        <v>0</v>
      </c>
      <c r="N12" s="368" t="str">
        <f>IF(AND( 'Val-Dép'!H20="Caisse", 'Val-Dép'!I20&lt;&gt;"note de crédit"),VLOOKUP('Val-Dép'!H20,'Val-Dép'!H20:Y20,15,FALSE ),"0")</f>
        <v>0</v>
      </c>
      <c r="O12" s="368" t="str">
        <f>IF(AND( 'Val-Dép'!H20="Caisse", 'Val-Dép'!I20&lt;&gt;"note de crédit"),VLOOKUP('Val-Dép'!AA20,'Val-Dép'!AA20:AF20,6,FALSE ),"0")</f>
        <v>0</v>
      </c>
    </row>
    <row r="13" spans="3:18" s="360" customFormat="1" ht="15" customHeight="1" x14ac:dyDescent="0.25">
      <c r="D13" s="368" t="str">
        <f>IF(AND( 'Val-Dép'!H21="Banque", 'Val-Dép'!I21&lt;&gt;"note de crédit"),VLOOKUP('Val-Dép'!H21,'Val-Dép'!H21:Y21,15,FALSE ),"0")</f>
        <v>0</v>
      </c>
      <c r="E13" s="368" t="str">
        <f>IF(AND( 'Val-Dép'!H21="Banque", 'Val-Dép'!I21&lt;&gt;"note de crédit"),VLOOKUP('Val-Dép'!AA21,'Val-Dép'!AA21:AF21,6,FALSE ),"0")</f>
        <v>0</v>
      </c>
      <c r="I13" s="368" t="str">
        <f>IF(AND( 'Val-Dép'!H21="Bq post", 'Val-Dép'!I21&lt;&gt;"note de crédit"),VLOOKUP('Val-Dép'!H21,'Val-Dép'!H21:Y21,15,FALSE ),"0")</f>
        <v>0</v>
      </c>
      <c r="J13" s="368" t="str">
        <f>IF(AND( 'Val-Dép'!H21="Bq post", 'Val-Dép'!I21&lt;&gt;"note de crédit"),VLOOKUP('Val-Dép'!AA21,'Val-Dép'!AA21:AF21,6,FALSE ),"0")</f>
        <v>0</v>
      </c>
      <c r="N13" s="368" t="str">
        <f>IF(AND( 'Val-Dép'!H21="Caisse", 'Val-Dép'!I21&lt;&gt;"note de crédit"),VLOOKUP('Val-Dép'!H21,'Val-Dép'!H21:Y21,15,FALSE ),"0")</f>
        <v>0</v>
      </c>
      <c r="O13" s="368" t="str">
        <f>IF(AND( 'Val-Dép'!H21="Caisse", 'Val-Dép'!I21&lt;&gt;"note de crédit"),VLOOKUP('Val-Dép'!AA21,'Val-Dép'!AA21:AF21,6,FALSE ),"0")</f>
        <v>0</v>
      </c>
    </row>
    <row r="14" spans="3:18" s="360" customFormat="1" ht="15" customHeight="1" x14ac:dyDescent="0.25">
      <c r="D14" s="520">
        <f>SUM(D4:D13)</f>
        <v>0</v>
      </c>
      <c r="E14" s="520">
        <f>SUM(E5:E13)</f>
        <v>0</v>
      </c>
      <c r="F14" s="521"/>
      <c r="G14" s="521"/>
      <c r="H14" s="521"/>
      <c r="I14" s="520">
        <f>SUM(I4:I13)</f>
        <v>0</v>
      </c>
      <c r="J14" s="520">
        <f>SUM(J5:J13)</f>
        <v>0</v>
      </c>
      <c r="K14" s="521"/>
      <c r="L14" s="521"/>
      <c r="M14" s="521"/>
      <c r="N14" s="520">
        <f>SUM(N4:N13)</f>
        <v>0</v>
      </c>
      <c r="O14" s="520">
        <f>SUM(O5:O13)</f>
        <v>0</v>
      </c>
      <c r="P14" s="521"/>
      <c r="Q14" s="521"/>
      <c r="R14" s="521" t="s">
        <v>1939</v>
      </c>
    </row>
    <row r="15" spans="3:18" s="360" customFormat="1" ht="15" customHeight="1" x14ac:dyDescent="0.25">
      <c r="C15" s="521" t="s">
        <v>203</v>
      </c>
      <c r="D15" s="520">
        <f>D14-E14</f>
        <v>0</v>
      </c>
      <c r="E15" s="521"/>
      <c r="F15" s="521"/>
      <c r="G15" s="521"/>
      <c r="H15" s="521" t="s">
        <v>203</v>
      </c>
      <c r="I15" s="520">
        <f>I14-J14</f>
        <v>0</v>
      </c>
      <c r="J15" s="521"/>
      <c r="K15" s="521"/>
      <c r="L15" s="521"/>
      <c r="M15" s="521" t="s">
        <v>203</v>
      </c>
      <c r="N15" s="520">
        <f>N14-O14</f>
        <v>0</v>
      </c>
      <c r="O15" s="521"/>
      <c r="P15" s="521"/>
      <c r="Q15" s="521"/>
      <c r="R15" s="520">
        <f>SUM(D15,I15,N15)</f>
        <v>0</v>
      </c>
    </row>
    <row r="16" spans="3:18" s="360" customFormat="1" ht="15" customHeight="1" x14ac:dyDescent="0.25"/>
    <row r="17" spans="3:18" s="360" customFormat="1" ht="15" customHeight="1" x14ac:dyDescent="0.25">
      <c r="D17" s="4413" t="s">
        <v>1657</v>
      </c>
      <c r="E17" s="4413"/>
      <c r="I17" s="4413" t="s">
        <v>1658</v>
      </c>
      <c r="J17" s="4413"/>
      <c r="N17" s="4413" t="s">
        <v>1659</v>
      </c>
      <c r="O17" s="4413"/>
    </row>
    <row r="18" spans="3:18" s="360" customFormat="1" ht="15" customHeight="1" thickBot="1" x14ac:dyDescent="0.3">
      <c r="C18" s="361"/>
      <c r="D18" s="361">
        <v>440</v>
      </c>
      <c r="E18" s="361" t="s">
        <v>212</v>
      </c>
      <c r="F18" s="361"/>
      <c r="H18" s="361"/>
      <c r="I18" s="361">
        <v>440</v>
      </c>
      <c r="J18" s="361" t="s">
        <v>212</v>
      </c>
      <c r="K18" s="361"/>
      <c r="M18" s="361"/>
      <c r="N18" s="361">
        <v>440</v>
      </c>
      <c r="O18" s="361" t="s">
        <v>212</v>
      </c>
      <c r="P18" s="361"/>
    </row>
    <row r="19" spans="3:18" s="360" customFormat="1" ht="15" customHeight="1" x14ac:dyDescent="0.25">
      <c r="E19" s="371">
        <f>IF(ISNA(VLOOKUP($E$18,'VAL-INIT'!J6:L63,2,FALSE)),,VLOOKUP($E$18,'VAL-INIT'!J6:L63,2,FALSE))</f>
        <v>0</v>
      </c>
      <c r="F19" s="360" t="s">
        <v>1643</v>
      </c>
      <c r="I19" s="362"/>
      <c r="J19" s="371"/>
      <c r="K19" s="360" t="s">
        <v>1643</v>
      </c>
      <c r="N19" s="362"/>
      <c r="O19" s="371"/>
      <c r="P19" s="360" t="s">
        <v>1643</v>
      </c>
    </row>
    <row r="20" spans="3:18" s="360" customFormat="1" ht="15" customHeight="1" x14ac:dyDescent="0.25">
      <c r="D20" s="368">
        <f>IF(AND( '[2]Val-Dép'!G35="Banque", '[2]Val-Dép'!G35&lt;&gt;"note de crédit"),VLOOKUP('[2]Val-Dép'!G35,'[2]Val-Dép'!G35:AL35,32,FALSE ),"0")</f>
        <v>0</v>
      </c>
      <c r="E20" s="368" t="str">
        <f>IF(AND( 'Val-Dép'!H35="Banque", 'Val-Dép'!H35&lt;&gt;"note de crédit"),VLOOKUP('Val-Dép'!H35,'Val-Dép'!H35:AF35,21,FALSE ),"0")</f>
        <v>0</v>
      </c>
      <c r="I20" s="368" t="str">
        <f>IF(AND( 'Val-Dép'!H35="Bq post", 'Val-Dép'!H35&lt;&gt;"note de crédit"),VLOOKUP('Val-Dép'!H35,'Val-Dép'!H35:AM35,32,FALSE ),"0")</f>
        <v>0</v>
      </c>
      <c r="J20" s="368" t="str">
        <f>IF(AND( 'Val-Dép'!H35="Bq post", 'Val-Dép'!H35&lt;&gt;"note de crédit"),VLOOKUP('Val-Dép'!H35,'Val-Dép'!H35:AF35,21,FALSE ),"0")</f>
        <v>0</v>
      </c>
      <c r="N20" s="368" t="str">
        <f>IF(AND( 'Val-Dép'!H35="Caisse", 'Val-Dép'!H35&lt;&gt;"note de crédit"),VLOOKUP('Val-Dép'!H35,'Val-Dép'!H35:AM35,32,FALSE ),"0")</f>
        <v>0</v>
      </c>
      <c r="O20" s="368" t="str">
        <f>IF(AND( '[2]Val-Dép'!G35="Caisse", 'Val-Dép'!H35&lt;&gt;"note de crédit"),VLOOKUP('Val-Dép'!H35,'Val-Dép'!H35:AF35,21,FALSE ),"0")</f>
        <v>0</v>
      </c>
    </row>
    <row r="21" spans="3:18" s="360" customFormat="1" ht="15" customHeight="1" x14ac:dyDescent="0.25">
      <c r="D21" s="368">
        <f>IF(AND( '[2]Val-Dép'!G36="Banque", '[2]Val-Dép'!G36&lt;&gt;"note de crédit"),VLOOKUP('[2]Val-Dép'!G36,'[2]Val-Dép'!G36:AL36,32,FALSE ),"0")</f>
        <v>0</v>
      </c>
      <c r="E21" s="368" t="str">
        <f>IF(AND( 'Val-Dép'!H38="Banque", 'Val-Dép'!H38&lt;&gt;"note de crédit"),VLOOKUP('Val-Dép'!H38,'Val-Dép'!H36:AF36,21,FALSE ),"0")</f>
        <v>0</v>
      </c>
      <c r="I21" s="368" t="str">
        <f>IF(AND( 'Val-Dép'!H38="Bq post", 'Val-Dép'!H38&lt;&gt;"note de crédit"),VLOOKUP('Val-Dép'!H38,'Val-Dép'!H36:AM36,32,FALSE ),"0")</f>
        <v>0</v>
      </c>
      <c r="J21" s="368" t="str">
        <f>IF(AND( 'Val-Dép'!H38="Bq post", 'Val-Dép'!H38&lt;&gt;"note de crédit"),VLOOKUP('Val-Dép'!H38,'Val-Dép'!H36:AF36,21,FALSE ),"0")</f>
        <v>0</v>
      </c>
      <c r="N21" s="368" t="str">
        <f>IF(AND( 'Val-Dép'!H38="Caisse", 'Val-Dép'!H38&lt;&gt;"note de crédit"),VLOOKUP('Val-Dép'!H38,'Val-Dép'!H36:AM36,32,FALSE ),"0")</f>
        <v>0</v>
      </c>
      <c r="O21" s="368" t="str">
        <f>IF(AND( '[2]Val-Dép'!G36="Caisse", 'Val-Dép'!H38&lt;&gt;"note de crédit"),VLOOKUP('Val-Dép'!H38,'Val-Dép'!H36:AF36,21,FALSE ),"0")</f>
        <v>0</v>
      </c>
    </row>
    <row r="22" spans="3:18" s="360" customFormat="1" ht="15" customHeight="1" x14ac:dyDescent="0.25">
      <c r="D22" s="368">
        <f>IF(AND( '[2]Val-Dép'!G37="Banque", '[2]Val-Dép'!G37&lt;&gt;"note de crédit"),VLOOKUP('[2]Val-Dép'!G37,'[2]Val-Dép'!G37:AL37,32,FALSE ),"0")</f>
        <v>0</v>
      </c>
      <c r="E22" s="368" t="str">
        <f>IF(AND( 'Val-Dép'!H39="Banque", 'Val-Dép'!H39&lt;&gt;"note de crédit"),VLOOKUP('Val-Dép'!H39,'Val-Dép'!H37:AF37,21,FALSE ),"0")</f>
        <v>0</v>
      </c>
      <c r="I22" s="368" t="str">
        <f>IF(AND( 'Val-Dép'!H39="Bq post", 'Val-Dép'!H39&lt;&gt;"note de crédit"),VLOOKUP('Val-Dép'!H39,'Val-Dép'!H37:AM37,32,FALSE ),"0")</f>
        <v>0</v>
      </c>
      <c r="J22" s="368" t="str">
        <f>IF(AND( 'Val-Dép'!H39="Bq post", 'Val-Dép'!H39&lt;&gt;"note de crédit"),VLOOKUP('Val-Dép'!H39,'Val-Dép'!H37:AF37,21,FALSE ),"0")</f>
        <v>0</v>
      </c>
      <c r="N22" s="368" t="str">
        <f>IF(AND( 'Val-Dép'!H39="Caisse", 'Val-Dép'!H39&lt;&gt;"note de crédit"),VLOOKUP('Val-Dép'!H39,'Val-Dép'!H37:AM37,32,FALSE ),"0")</f>
        <v>0</v>
      </c>
      <c r="O22" s="368" t="str">
        <f>IF(AND( '[2]Val-Dép'!G37="Caisse", 'Val-Dép'!H39&lt;&gt;"note de crédit"),VLOOKUP('Val-Dép'!H39,'Val-Dép'!H37:AF37,21,FALSE ),"0")</f>
        <v>0</v>
      </c>
    </row>
    <row r="23" spans="3:18" s="360" customFormat="1" ht="15" customHeight="1" x14ac:dyDescent="0.25">
      <c r="D23" s="368" t="str">
        <f>IF(AND( '[2]Val-Dép'!G38="Banque", '[2]Val-Dép'!G38&lt;&gt;"note de crédit"),VLOOKUP('[2]Val-Dép'!G38,'[2]Val-Dép'!G38:AL38,32,FALSE ),"0")</f>
        <v>0</v>
      </c>
      <c r="E23" s="368" t="str">
        <f>IF(AND( 'Val-Dép'!H40="Banque", 'Val-Dép'!H40&lt;&gt;"note de crédit"),VLOOKUP('Val-Dép'!H40,'Val-Dép'!H38:AF38,21,FALSE ),"0")</f>
        <v>0</v>
      </c>
      <c r="I23" s="368" t="str">
        <f>IF(AND( 'Val-Dép'!H40="Bq post", 'Val-Dép'!H40&lt;&gt;"note de crédit"),VLOOKUP('Val-Dép'!H40,'Val-Dép'!H38:AM38,32,FALSE ),"0")</f>
        <v>0</v>
      </c>
      <c r="J23" s="368" t="str">
        <f>IF(AND( 'Val-Dép'!H40="Bq post", 'Val-Dép'!H40&lt;&gt;"note de crédit"),VLOOKUP('Val-Dép'!H40,'Val-Dép'!H38:AF38,21,FALSE ),"0")</f>
        <v>0</v>
      </c>
      <c r="N23" s="368" t="str">
        <f>IF(AND( 'Val-Dép'!H40="Caisse", 'Val-Dép'!H40&lt;&gt;"note de crédit"),VLOOKUP('Val-Dép'!H40,'Val-Dép'!H38:AM38,32,FALSE ),"0")</f>
        <v>0</v>
      </c>
      <c r="O23" s="368" t="str">
        <f>IF(AND( '[2]Val-Dép'!G38="Caisse", 'Val-Dép'!H40&lt;&gt;"note de crédit"),VLOOKUP('Val-Dép'!H40,'Val-Dép'!H38:AF38,21,FALSE ),"0")</f>
        <v>0</v>
      </c>
    </row>
    <row r="24" spans="3:18" s="360" customFormat="1" ht="15" customHeight="1" x14ac:dyDescent="0.25">
      <c r="D24" s="368" t="str">
        <f>IF(AND( '[2]Val-Dép'!G39="Banque", '[2]Val-Dép'!G39&lt;&gt;"note de crédit"),VLOOKUP('[2]Val-Dép'!G39,'[2]Val-Dép'!G39:AL39,32,FALSE ),"0")</f>
        <v>0</v>
      </c>
      <c r="E24" s="368" t="str">
        <f>IF(AND( 'Val-Dép'!H41="Banque", 'Val-Dép'!H41&lt;&gt;"note de crédit"),VLOOKUP('Val-Dép'!H41,'Val-Dép'!H39:AF39,21,FALSE ),"0")</f>
        <v>0</v>
      </c>
      <c r="I24" s="368" t="str">
        <f>IF(AND( 'Val-Dép'!H41="Bq post", 'Val-Dép'!H41&lt;&gt;"note de crédit"),VLOOKUP('Val-Dép'!H41,'Val-Dép'!H39:AM39,32,FALSE ),"0")</f>
        <v>0</v>
      </c>
      <c r="J24" s="368" t="str">
        <f>IF(AND( 'Val-Dép'!H41="Bq post", 'Val-Dép'!H41&lt;&gt;"note de crédit"),VLOOKUP('Val-Dép'!H41,'Val-Dép'!H39:AF39,21,FALSE ),"0")</f>
        <v>0</v>
      </c>
      <c r="N24" s="368" t="str">
        <f>IF(AND( 'Val-Dép'!H41="Caisse", 'Val-Dép'!H41&lt;&gt;"note de crédit"),VLOOKUP('Val-Dép'!H41,'Val-Dép'!H39:AM39,32,FALSE ),"0")</f>
        <v>0</v>
      </c>
      <c r="O24" s="368" t="str">
        <f>IF(AND( '[2]Val-Dép'!G39="Caisse", 'Val-Dép'!H41&lt;&gt;"note de crédit"),VLOOKUP('Val-Dép'!H41,'Val-Dép'!H39:AF39,21,FALSE ),"0")</f>
        <v>0</v>
      </c>
    </row>
    <row r="25" spans="3:18" s="360" customFormat="1" ht="15" customHeight="1" x14ac:dyDescent="0.25">
      <c r="D25" s="368" t="str">
        <f>IF(AND( '[2]Val-Dép'!G40="Banque", '[2]Val-Dép'!G40&lt;&gt;"note de crédit"),VLOOKUP('[2]Val-Dép'!G40,'[2]Val-Dép'!G40:AL40,32,FALSE ),"0")</f>
        <v>0</v>
      </c>
      <c r="E25" s="368" t="str">
        <f>IF(AND( 'Val-Dép'!H42="Banque", 'Val-Dép'!H42&lt;&gt;"note de crédit"),VLOOKUP('Val-Dép'!H42,'Val-Dép'!H40:AF40,21,FALSE ),"0")</f>
        <v>0</v>
      </c>
      <c r="I25" s="368" t="str">
        <f>IF(AND( 'Val-Dép'!H42="Bq post", 'Val-Dép'!H42&lt;&gt;"note de crédit"),VLOOKUP('Val-Dép'!H42,'Val-Dép'!H40:AM40,32,FALSE ),"0")</f>
        <v>0</v>
      </c>
      <c r="J25" s="368" t="str">
        <f>IF(AND( 'Val-Dép'!H42="Bq post", 'Val-Dép'!H42&lt;&gt;"note de crédit"),VLOOKUP('Val-Dép'!H42,'Val-Dép'!H40:AF40,21,FALSE ),"0")</f>
        <v>0</v>
      </c>
      <c r="N25" s="368" t="str">
        <f>IF(AND( 'Val-Dép'!H42="Caisse", 'Val-Dép'!H42&lt;&gt;"note de crédit"),VLOOKUP('Val-Dép'!H42,'Val-Dép'!H40:AM40,32,FALSE ),"0")</f>
        <v>0</v>
      </c>
      <c r="O25" s="368" t="str">
        <f>IF(AND( '[2]Val-Dép'!G40="Caisse", 'Val-Dép'!H42&lt;&gt;"note de crédit"),VLOOKUP('Val-Dép'!H42,'Val-Dép'!H40:AF40,21,FALSE ),"0")</f>
        <v>0</v>
      </c>
    </row>
    <row r="26" spans="3:18" s="360" customFormat="1" ht="15" customHeight="1" x14ac:dyDescent="0.25">
      <c r="D26" s="368" t="str">
        <f>IF(AND( '[2]Val-Dép'!G41="Banque", '[2]Val-Dép'!G41&lt;&gt;"note de crédit"),VLOOKUP('[2]Val-Dép'!G41,'[2]Val-Dép'!G41:AL41,32,FALSE ),"0")</f>
        <v>0</v>
      </c>
      <c r="E26" s="368" t="str">
        <f>IF(AND( 'Val-Dép'!H43="Banque", 'Val-Dép'!H43&lt;&gt;"note de crédit"),VLOOKUP('Val-Dép'!H43,'Val-Dép'!H41:AF41,21,FALSE ),"0")</f>
        <v>0</v>
      </c>
      <c r="I26" s="368" t="str">
        <f>IF(AND( 'Val-Dép'!H43="Bq post", 'Val-Dép'!H43&lt;&gt;"note de crédit"),VLOOKUP('Val-Dép'!H43,'Val-Dép'!H41:AM41,32,FALSE ),"0")</f>
        <v>0</v>
      </c>
      <c r="J26" s="368" t="str">
        <f>IF(AND( 'Val-Dép'!H43="Bq post", 'Val-Dép'!H43&lt;&gt;"note de crédit"),VLOOKUP('Val-Dép'!H43,'Val-Dép'!H41:AF41,21,FALSE ),"0")</f>
        <v>0</v>
      </c>
      <c r="N26" s="368" t="str">
        <f>IF(AND( 'Val-Dép'!H43="Caisse", 'Val-Dép'!H43&lt;&gt;"note de crédit"),VLOOKUP('Val-Dép'!H43,'Val-Dép'!H41:AM41,32,FALSE ),"0")</f>
        <v>0</v>
      </c>
      <c r="O26" s="368" t="str">
        <f>IF(AND( '[2]Val-Dép'!G41="Caisse", 'Val-Dép'!H43&lt;&gt;"note de crédit"),VLOOKUP('Val-Dép'!H43,'Val-Dép'!H41:AF41,21,FALSE ),"0")</f>
        <v>0</v>
      </c>
    </row>
    <row r="27" spans="3:18" s="360" customFormat="1" ht="15" customHeight="1" x14ac:dyDescent="0.25">
      <c r="D27" s="368" t="str">
        <f>IF(AND( '[2]Val-Dép'!G42="Banque", '[2]Val-Dép'!G42&lt;&gt;"note de crédit"),VLOOKUP('[2]Val-Dép'!G42,'[2]Val-Dép'!G42:AL42,32,FALSE ),"0")</f>
        <v>0</v>
      </c>
      <c r="E27" s="368" t="str">
        <f>IF(AND( 'Val-Dép'!H44="Banque", 'Val-Dép'!H44&lt;&gt;"note de crédit"),VLOOKUP('Val-Dép'!H44,'Val-Dép'!H42:AF42,21,FALSE ),"0")</f>
        <v>0</v>
      </c>
      <c r="I27" s="368" t="str">
        <f>IF(AND( 'Val-Dép'!H44="Bq post", 'Val-Dép'!H44&lt;&gt;"note de crédit"),VLOOKUP('Val-Dép'!H44,'Val-Dép'!H42:AM42,32,FALSE ),"0")</f>
        <v>0</v>
      </c>
      <c r="J27" s="368" t="str">
        <f>IF(AND( 'Val-Dép'!H44="Bq post", 'Val-Dép'!H44&lt;&gt;"note de crédit"),VLOOKUP('Val-Dép'!H44,'Val-Dép'!H42:AF42,21,FALSE ),"0")</f>
        <v>0</v>
      </c>
      <c r="N27" s="368" t="str">
        <f>IF(AND( 'Val-Dép'!H44="Caisse", 'Val-Dép'!H44&lt;&gt;"note de crédit"),VLOOKUP('Val-Dép'!H44,'Val-Dép'!H42:AM42,32,FALSE ),"0")</f>
        <v>0</v>
      </c>
      <c r="O27" s="368" t="str">
        <f>IF(AND( '[2]Val-Dép'!G42="Caisse", 'Val-Dép'!H44&lt;&gt;"note de crédit"),VLOOKUP('Val-Dép'!H44,'Val-Dép'!H42:AF42,21,FALSE ),"0")</f>
        <v>0</v>
      </c>
    </row>
    <row r="28" spans="3:18" s="360" customFormat="1" ht="15" customHeight="1" x14ac:dyDescent="0.25">
      <c r="D28" s="368" t="str">
        <f>IF(AND( '[2]Val-Dép'!G43="Banque", '[2]Val-Dép'!G43&lt;&gt;"note de crédit"),VLOOKUP('[2]Val-Dép'!G43,'[2]Val-Dép'!G43:AL43,32,FALSE ),"0")</f>
        <v>0</v>
      </c>
      <c r="E28" s="368" t="str">
        <f>IF(AND( 'Val-Dép'!H45="Banque", 'Val-Dép'!H45&lt;&gt;"note de crédit"),VLOOKUP('Val-Dép'!H45,'Val-Dép'!H43:AF43,21,FALSE ),"0")</f>
        <v>0</v>
      </c>
      <c r="I28" s="368" t="str">
        <f>IF(AND( 'Val-Dép'!H45="Bq post", 'Val-Dép'!H45&lt;&gt;"note de crédit"),VLOOKUP('Val-Dép'!H45,'Val-Dép'!H43:AM43,32,FALSE ),"0")</f>
        <v>0</v>
      </c>
      <c r="J28" s="368" t="str">
        <f>IF(AND( 'Val-Dép'!H45="Bq post", 'Val-Dép'!H45&lt;&gt;"note de crédit"),VLOOKUP('Val-Dép'!H45,'Val-Dép'!H43:AF43,21,FALSE ),"0")</f>
        <v>0</v>
      </c>
      <c r="N28" s="368" t="str">
        <f>IF(AND( 'Val-Dép'!H45="Caisse", 'Val-Dép'!H45&lt;&gt;"note de crédit"),VLOOKUP('Val-Dép'!H45,'Val-Dép'!H43:AM43,32,FALSE ),"0")</f>
        <v>0</v>
      </c>
      <c r="O28" s="368" t="str">
        <f>IF(AND( '[2]Val-Dép'!G43="Caisse", 'Val-Dép'!H45&lt;&gt;"note de crédit"),VLOOKUP('Val-Dép'!H45,'Val-Dép'!H43:AF43,21,FALSE ),"0")</f>
        <v>0</v>
      </c>
    </row>
    <row r="29" spans="3:18" s="360" customFormat="1" ht="15" customHeight="1" x14ac:dyDescent="0.25">
      <c r="D29" s="368" t="str">
        <f>IF(AND( '[2]Val-Dép'!G44="Banque", '[2]Val-Dép'!G44&lt;&gt;"note de crédit"),VLOOKUP('[2]Val-Dép'!G44,'[2]Val-Dép'!G44:AL44,32,FALSE ),"0")</f>
        <v>0</v>
      </c>
      <c r="E29" s="368" t="str">
        <f>IF(AND( 'Val-Dép'!H46="Banque", 'Val-Dép'!H46&lt;&gt;"note de crédit"),VLOOKUP('Val-Dép'!H46,'Val-Dép'!H44:AF44,21,FALSE ),"0")</f>
        <v>0</v>
      </c>
      <c r="I29" s="368" t="str">
        <f>IF(AND( 'Val-Dép'!H46="Bq post", 'Val-Dép'!H46&lt;&gt;"note de crédit"),VLOOKUP('Val-Dép'!H46,'Val-Dép'!H44:AM44,32,FALSE ),"0")</f>
        <v>0</v>
      </c>
      <c r="J29" s="368" t="str">
        <f>IF(AND( 'Val-Dép'!H46="Bq post", 'Val-Dép'!H46&lt;&gt;"note de crédit"),VLOOKUP('Val-Dép'!H46,'Val-Dép'!H44:AF44,21,FALSE ),"0")</f>
        <v>0</v>
      </c>
      <c r="N29" s="368" t="str">
        <f>IF(AND( 'Val-Dép'!H46="Caisse", 'Val-Dép'!H46&lt;&gt;"note de crédit"),VLOOKUP('Val-Dép'!H46,'Val-Dép'!H44:AM44,32,FALSE ),"0")</f>
        <v>0</v>
      </c>
      <c r="O29" s="368" t="str">
        <f>IF(AND( '[2]Val-Dép'!G44="Caisse", 'Val-Dép'!H46&lt;&gt;"note de crédit"),VLOOKUP('Val-Dép'!H46,'Val-Dép'!H44:AF44,21,FALSE ),"0")</f>
        <v>0</v>
      </c>
    </row>
    <row r="30" spans="3:18" s="360" customFormat="1" ht="15" customHeight="1" x14ac:dyDescent="0.25">
      <c r="D30" s="522">
        <f>SUM(D20:D29)</f>
        <v>0</v>
      </c>
      <c r="E30" s="522">
        <f>SUM(E19:E29)</f>
        <v>0</v>
      </c>
      <c r="F30" s="519"/>
      <c r="G30" s="519"/>
      <c r="H30" s="519"/>
      <c r="I30" s="522">
        <f>SUM(I20:I29)</f>
        <v>0</v>
      </c>
      <c r="J30" s="522">
        <f>SUM(J19:J29)</f>
        <v>0</v>
      </c>
      <c r="K30" s="519"/>
      <c r="L30" s="519"/>
      <c r="M30" s="519"/>
      <c r="N30" s="522">
        <f>SUM(N20:N29)</f>
        <v>0</v>
      </c>
      <c r="O30" s="522">
        <f>SUM(O19:O29)</f>
        <v>0</v>
      </c>
      <c r="P30" s="519"/>
      <c r="Q30" s="519"/>
      <c r="R30" s="519"/>
    </row>
    <row r="31" spans="3:18" s="360" customFormat="1" ht="15" customHeight="1" x14ac:dyDescent="0.25">
      <c r="D31" s="518"/>
      <c r="E31" s="518">
        <f>E30-D30</f>
        <v>0</v>
      </c>
      <c r="F31" s="519"/>
      <c r="G31" s="519"/>
      <c r="H31" s="519"/>
      <c r="I31" s="518"/>
      <c r="J31" s="518">
        <f>J30-I30</f>
        <v>0</v>
      </c>
      <c r="K31" s="519"/>
      <c r="L31" s="519"/>
      <c r="M31" s="519"/>
      <c r="N31" s="518"/>
      <c r="O31" s="518">
        <f>O30-N30</f>
        <v>0</v>
      </c>
      <c r="P31" s="519"/>
      <c r="Q31" s="519"/>
      <c r="R31" s="518">
        <f>SUM(E31,J31,O31)</f>
        <v>0</v>
      </c>
    </row>
    <row r="32" spans="3:18" s="360" customFormat="1" ht="15" customHeight="1" x14ac:dyDescent="0.25"/>
    <row r="33" spans="3:18" s="360" customFormat="1" ht="15" customHeight="1" x14ac:dyDescent="0.25"/>
    <row r="34" spans="3:18" s="360" customFormat="1" ht="15" customHeight="1" x14ac:dyDescent="0.25">
      <c r="D34" s="406" t="s">
        <v>1648</v>
      </c>
      <c r="E34" s="406" t="s">
        <v>1644</v>
      </c>
      <c r="I34" s="406" t="s">
        <v>1650</v>
      </c>
      <c r="J34" s="406" t="s">
        <v>1645</v>
      </c>
      <c r="N34" s="406" t="s">
        <v>1649</v>
      </c>
      <c r="O34" s="406" t="s">
        <v>1646</v>
      </c>
    </row>
    <row r="35" spans="3:18" s="360" customFormat="1" ht="15" customHeight="1" thickBot="1" x14ac:dyDescent="0.3">
      <c r="C35" s="361"/>
      <c r="D35" s="361">
        <v>550</v>
      </c>
      <c r="E35" s="361" t="s">
        <v>169</v>
      </c>
      <c r="F35" s="361"/>
      <c r="H35" s="361"/>
      <c r="I35" s="361">
        <v>560</v>
      </c>
      <c r="J35" s="361" t="s">
        <v>1627</v>
      </c>
      <c r="K35" s="361"/>
      <c r="M35" s="361"/>
      <c r="N35" s="361">
        <v>570</v>
      </c>
      <c r="O35" s="361" t="s">
        <v>1647</v>
      </c>
      <c r="P35" s="361"/>
    </row>
    <row r="36" spans="3:18" s="360" customFormat="1" ht="15" customHeight="1" x14ac:dyDescent="0.25">
      <c r="C36" s="360" t="s">
        <v>1643</v>
      </c>
      <c r="D36" s="369">
        <f>IF(ISNA(VLOOKUP($E$35,'VAL-INIT'!D10:F90,3,FALSE)),,VLOOKUP($E$35,'VAL-INIT'!D10:F90,3,FALSE))</f>
        <v>25000</v>
      </c>
      <c r="E36" s="370"/>
      <c r="H36" s="360" t="s">
        <v>1643</v>
      </c>
      <c r="I36" s="369">
        <f>IF(ISNA(VLOOKUP($J$35,'VAL-INIT'!D10:F90,3,FALSE)),,VLOOKUP($J$35,'VAL-INIT'!D10:F90,3,FALSE))</f>
        <v>0</v>
      </c>
      <c r="J36" s="370"/>
      <c r="M36" s="360" t="s">
        <v>1643</v>
      </c>
      <c r="N36" s="369">
        <f>IF(ISNA(VLOOKUP(O35,'VAL-INIT'!D10:F90,3,FALSE)),,VLOOKUP(O35,'VAL-INIT'!D10:F90,3,FALSE))</f>
        <v>800</v>
      </c>
      <c r="O36" s="370"/>
      <c r="R36" s="360" t="s">
        <v>1911</v>
      </c>
    </row>
    <row r="37" spans="3:18" s="360" customFormat="1" ht="15" customHeight="1" x14ac:dyDescent="0.25">
      <c r="D37" s="368" t="str">
        <f>IF(AND( 'Val-Dép'!H13="Banque", 'Val-Dép'!I13&lt;&gt;"note de crédit"),VLOOKUP('Val-Dép'!AA13,'Val-Dép'!AA13:AF13,6,FALSE ),"0")</f>
        <v>0</v>
      </c>
      <c r="E37" s="368" t="str">
        <f>IF(AND( 'Val-Dép'!H35="Banque", 'Val-Dép'!H35&lt;&gt;"note de crédit"),VLOOKUP('Val-Dép'!H35,'Val-Dép'!H35:AM35,32,FALSE ),"0")</f>
        <v>0</v>
      </c>
      <c r="I37" s="368" t="str">
        <f>IF(AND( 'Val-Dép'!H13="Bq post", 'Val-Dép'!I13&lt;&gt;"note de crédit"),VLOOKUP('Val-Dép'!AA13,'Val-Dép'!AA13:AF13,6,FALSE ),"0")</f>
        <v>0</v>
      </c>
      <c r="J37" s="368" t="str">
        <f>IF(AND( 'Val-Dép'!H35="Bq post", 'Val-Dép'!H35&lt;&gt;"note de crédit"),VLOOKUP('Val-Dép'!H35,'Val-Dép'!H35:AM35,32,FALSE ),"0")</f>
        <v>0</v>
      </c>
      <c r="N37" s="368" t="str">
        <f>IF(AND( 'Val-Dép'!H13="Caisse", 'Val-Dép'!I13&lt;&gt;"note de crédit"),VLOOKUP('Val-Dép'!AA13,'Val-Dép'!AA13:AF13,6,FALSE ),"0")</f>
        <v>0</v>
      </c>
      <c r="O37" s="368" t="str">
        <f>IF(AND( 'Val-Dép'!H35="Caisse", 'Val-Dép'!H35&lt;&gt;"note de crédit"),VLOOKUP('Val-Dép'!H35,'Val-Dép'!H35:AM35,32,FALSE ),"0")</f>
        <v>0</v>
      </c>
    </row>
    <row r="38" spans="3:18" s="360" customFormat="1" ht="15" customHeight="1" x14ac:dyDescent="0.25">
      <c r="D38" s="368" t="str">
        <f>IF(AND( 'Val-Dép'!H14="Banque", 'Val-Dép'!I14&lt;&gt;"note de crédit"),VLOOKUP('Val-Dép'!AA14,'Val-Dép'!AA14:AF14,6,FALSE ),"0")</f>
        <v>0</v>
      </c>
      <c r="E38" s="368" t="str">
        <f>IF(AND( 'Val-Dép'!H38="Banque", 'Val-Dép'!H38&lt;&gt;"note de crédit"),VLOOKUP('Val-Dép'!H38,'Val-Dép'!H36:AM36,32,FALSE ),"0")</f>
        <v>0</v>
      </c>
      <c r="I38" s="368" t="str">
        <f>IF(AND( 'Val-Dép'!H14="Bq post", 'Val-Dép'!I14&lt;&gt;"note de crédit"),VLOOKUP('Val-Dép'!AA14,'Val-Dép'!AA14:AF14,6,FALSE ),"0")</f>
        <v>0</v>
      </c>
      <c r="J38" s="368" t="str">
        <f>IF(AND( 'Val-Dép'!H38="Bq post", 'Val-Dép'!H38&lt;&gt;"note de crédit"),VLOOKUP('Val-Dép'!H38,'Val-Dép'!H36:AM36,32,FALSE ),"0")</f>
        <v>0</v>
      </c>
      <c r="N38" s="368" t="str">
        <f>IF(AND( 'Val-Dép'!H14="Caisse", 'Val-Dép'!I14&lt;&gt;"note de crédit"),VLOOKUP('Val-Dép'!AA14,'Val-Dép'!AA14:AF14,6,FALSE ),"0")</f>
        <v>0</v>
      </c>
      <c r="O38" s="368" t="str">
        <f>IF(AND( 'Val-Dép'!H38="Caisse", 'Val-Dép'!H38&lt;&gt;"note de crédit"),VLOOKUP('Val-Dép'!H38,'Val-Dép'!H36:AM36,32,FALSE ),"0")</f>
        <v>0</v>
      </c>
    </row>
    <row r="39" spans="3:18" s="360" customFormat="1" ht="15" customHeight="1" x14ac:dyDescent="0.25">
      <c r="D39" s="368" t="str">
        <f>IF(AND( 'Val-Dép'!H15="Banque", 'Val-Dép'!I15&lt;&gt;"note de crédit"),VLOOKUP('Val-Dép'!AA15,'Val-Dép'!AA15:AF15,6,FALSE ),"0")</f>
        <v>0</v>
      </c>
      <c r="E39" s="368" t="str">
        <f>IF(AND( 'Val-Dép'!H39="Banque", 'Val-Dép'!H39&lt;&gt;"note de crédit"),VLOOKUP('Val-Dép'!H39,'Val-Dép'!H37:AM37,32,FALSE ),"0")</f>
        <v>0</v>
      </c>
      <c r="I39" s="368" t="str">
        <f>IF(AND( 'Val-Dép'!H15="Bq post", 'Val-Dép'!I15&lt;&gt;"note de crédit"),VLOOKUP('Val-Dép'!AA15,'Val-Dép'!AA15:AF15,6,FALSE ),"0")</f>
        <v>0</v>
      </c>
      <c r="J39" s="368" t="str">
        <f>IF(AND( 'Val-Dép'!H39="Bq post", 'Val-Dép'!H39&lt;&gt;"note de crédit"),VLOOKUP('Val-Dép'!H39,'Val-Dép'!H37:AM37,32,FALSE ),"0")</f>
        <v>0</v>
      </c>
      <c r="N39" s="368" t="str">
        <f>IF(AND( 'Val-Dép'!H15="Caisse", 'Val-Dép'!I15&lt;&gt;"note de crédit"),VLOOKUP('Val-Dép'!AA15,'Val-Dép'!AA15:AF15,6,FALSE ),"0")</f>
        <v>0</v>
      </c>
      <c r="O39" s="368" t="str">
        <f>IF(AND( 'Val-Dép'!H39="Caisse", 'Val-Dép'!H39&lt;&gt;"note de crédit"),VLOOKUP('Val-Dép'!H39,'Val-Dép'!H37:AM37,32,FALSE ),"0")</f>
        <v>0</v>
      </c>
    </row>
    <row r="40" spans="3:18" s="360" customFormat="1" ht="15" customHeight="1" x14ac:dyDescent="0.25">
      <c r="D40" s="368" t="str">
        <f>IF(AND( 'Val-Dép'!H16="Banque", 'Val-Dép'!I16&lt;&gt;"note de crédit"),VLOOKUP('Val-Dép'!AA16,'Val-Dép'!AA16:AF16,6,FALSE ),"0")</f>
        <v>0</v>
      </c>
      <c r="E40" s="368" t="str">
        <f>IF(AND( 'Val-Dép'!H40="Banque", 'Val-Dép'!H40&lt;&gt;"note de crédit"),VLOOKUP('Val-Dép'!H40,'Val-Dép'!H38:AM38,32,FALSE ),"0")</f>
        <v>0</v>
      </c>
      <c r="I40" s="368" t="str">
        <f>IF(AND( 'Val-Dép'!H16="Bq post", 'Val-Dép'!I16&lt;&gt;"note de crédit"),VLOOKUP('Val-Dép'!AA16,'Val-Dép'!AA16:AF16,6,FALSE ),"0")</f>
        <v>0</v>
      </c>
      <c r="J40" s="368" t="str">
        <f>IF(AND( 'Val-Dép'!H40="Bq post", 'Val-Dép'!H40&lt;&gt;"note de crédit"),VLOOKUP('Val-Dép'!H40,'Val-Dép'!H38:AM38,32,FALSE ),"0")</f>
        <v>0</v>
      </c>
      <c r="N40" s="368" t="str">
        <f>IF(AND( 'Val-Dép'!H16="Caisse", 'Val-Dép'!I16&lt;&gt;"note de crédit"),VLOOKUP('Val-Dép'!AA16,'Val-Dép'!AA16:AF16,6,FALSE ),"0")</f>
        <v>0</v>
      </c>
      <c r="O40" s="368" t="str">
        <f>IF(AND( 'Val-Dép'!H40="Caisse", 'Val-Dép'!H40&lt;&gt;"note de crédit"),VLOOKUP('Val-Dép'!H40,'Val-Dép'!H38:AM38,32,FALSE ),"0")</f>
        <v>0</v>
      </c>
    </row>
    <row r="41" spans="3:18" s="360" customFormat="1" ht="15" customHeight="1" x14ac:dyDescent="0.25">
      <c r="D41" s="368" t="str">
        <f>IF(AND( 'Val-Dép'!H17="Banque", 'Val-Dép'!I17&lt;&gt;"note de crédit"),VLOOKUP('Val-Dép'!AA17,'Val-Dép'!AA17:AF17,6,FALSE ),"0")</f>
        <v>0</v>
      </c>
      <c r="E41" s="368" t="str">
        <f>IF(AND( 'Val-Dép'!H41="Banque", 'Val-Dép'!H41&lt;&gt;"note de crédit"),VLOOKUP('Val-Dép'!H41,'Val-Dép'!H39:AM39,32,FALSE ),"0")</f>
        <v>0</v>
      </c>
      <c r="I41" s="368" t="str">
        <f>IF(AND( 'Val-Dép'!H17="Bq post", 'Val-Dép'!I17&lt;&gt;"note de crédit"),VLOOKUP('Val-Dép'!AA17,'Val-Dép'!AA17:AF17,6,FALSE ),"0")</f>
        <v>0</v>
      </c>
      <c r="J41" s="368" t="str">
        <f>IF(AND( 'Val-Dép'!H41="Bq post", 'Val-Dép'!H41&lt;&gt;"note de crédit"),VLOOKUP('Val-Dép'!H41,'Val-Dép'!H39:AM39,32,FALSE ),"0")</f>
        <v>0</v>
      </c>
      <c r="N41" s="368" t="str">
        <f>IF(AND( 'Val-Dép'!H17="Caisse", 'Val-Dép'!I17&lt;&gt;"note de crédit"),VLOOKUP('Val-Dép'!AA17,'Val-Dép'!AA17:AF17,6,FALSE ),"0")</f>
        <v>0</v>
      </c>
      <c r="O41" s="368" t="str">
        <f>IF(AND( 'Val-Dép'!H41="Caisse", 'Val-Dép'!H41&lt;&gt;"note de crédit"),VLOOKUP('Val-Dép'!H41,'Val-Dép'!H39:AM39,32,FALSE ),"0")</f>
        <v>0</v>
      </c>
    </row>
    <row r="42" spans="3:18" s="360" customFormat="1" ht="15" customHeight="1" x14ac:dyDescent="0.25">
      <c r="D42" s="368" t="str">
        <f>IF(AND( 'Val-Dép'!H18="Banque", 'Val-Dép'!I18&lt;&gt;"note de crédit"),VLOOKUP('Val-Dép'!AA18,'Val-Dép'!AA18:AF18,6,FALSE ),"0")</f>
        <v>0</v>
      </c>
      <c r="E42" s="368" t="str">
        <f>IF(AND( 'Val-Dép'!H42="Banque", 'Val-Dép'!H42&lt;&gt;"note de crédit"),VLOOKUP('Val-Dép'!H42,'Val-Dép'!H40:AM40,32,FALSE ),"0")</f>
        <v>0</v>
      </c>
      <c r="I42" s="368" t="str">
        <f>IF(AND( 'Val-Dép'!H18="Bq post", 'Val-Dép'!I18&lt;&gt;"note de crédit"),VLOOKUP('Val-Dép'!AA18,'Val-Dép'!AA18:AF18,6,FALSE ),"0")</f>
        <v>0</v>
      </c>
      <c r="J42" s="368" t="str">
        <f>IF(AND( 'Val-Dép'!H42="Bq post", 'Val-Dép'!H42&lt;&gt;"note de crédit"),VLOOKUP('Val-Dép'!H42,'Val-Dép'!H40:AM40,32,FALSE ),"0")</f>
        <v>0</v>
      </c>
      <c r="N42" s="368" t="str">
        <f>IF(AND( 'Val-Dép'!H18="Caisse", 'Val-Dép'!I18&lt;&gt;"note de crédit"),VLOOKUP('Val-Dép'!AA18,'Val-Dép'!AA18:AF18,6,FALSE ),"0")</f>
        <v>0</v>
      </c>
      <c r="O42" s="368" t="str">
        <f>IF(AND( 'Val-Dép'!H42="Caisse", 'Val-Dép'!H42&lt;&gt;"note de crédit"),VLOOKUP('Val-Dép'!H42,'Val-Dép'!H40:AM40,32,FALSE ),"0")</f>
        <v>0</v>
      </c>
    </row>
    <row r="43" spans="3:18" s="360" customFormat="1" ht="15" customHeight="1" x14ac:dyDescent="0.25">
      <c r="D43" s="368" t="str">
        <f>IF(AND( 'Val-Dép'!H19="Banque", 'Val-Dép'!I19&lt;&gt;"note de crédit"),VLOOKUP('Val-Dép'!AA19,'Val-Dép'!AA19:AF19,6,FALSE ),"0")</f>
        <v>0</v>
      </c>
      <c r="E43" s="368" t="str">
        <f>IF(AND( 'Val-Dép'!H43="Banque", 'Val-Dép'!H43&lt;&gt;"note de crédit"),VLOOKUP('Val-Dép'!H43,'Val-Dép'!H41:AM41,32,FALSE ),"0")</f>
        <v>0</v>
      </c>
      <c r="I43" s="368" t="str">
        <f>IF(AND( 'Val-Dép'!H19="Bq post", 'Val-Dép'!I19&lt;&gt;"note de crédit"),VLOOKUP('Val-Dép'!AA19,'Val-Dép'!AA19:AF19,6,FALSE ),"0")</f>
        <v>0</v>
      </c>
      <c r="J43" s="368" t="str">
        <f>IF(AND( 'Val-Dép'!H43="Bq post", 'Val-Dép'!H43&lt;&gt;"note de crédit"),VLOOKUP('Val-Dép'!H43,'Val-Dép'!H41:AM41,32,FALSE ),"0")</f>
        <v>0</v>
      </c>
      <c r="N43" s="368" t="str">
        <f>IF(AND( 'Val-Dép'!H19="Caisse", 'Val-Dép'!I19&lt;&gt;"note de crédit"),VLOOKUP('Val-Dép'!AA19,'Val-Dép'!AA19:AF19,6,FALSE ),"0")</f>
        <v>0</v>
      </c>
      <c r="O43" s="368" t="str">
        <f>IF(AND( 'Val-Dép'!H43="Caisse", 'Val-Dép'!H43&lt;&gt;"note de crédit"),VLOOKUP('Val-Dép'!H43,'Val-Dép'!H41:AM41,32,FALSE ),"0")</f>
        <v>0</v>
      </c>
    </row>
    <row r="44" spans="3:18" s="360" customFormat="1" ht="15" customHeight="1" x14ac:dyDescent="0.25">
      <c r="D44" s="368" t="str">
        <f>IF(AND( 'Val-Dép'!H20="Banque", 'Val-Dép'!I20&lt;&gt;"note de crédit"),VLOOKUP('Val-Dép'!AA20,'Val-Dép'!AA20:AF20,6,FALSE ),"0")</f>
        <v>0</v>
      </c>
      <c r="E44" s="368" t="str">
        <f>IF(AND( 'Val-Dép'!H44="Banque", 'Val-Dép'!H44&lt;&gt;"note de crédit"),VLOOKUP('Val-Dép'!H44,'Val-Dép'!H42:AM42,32,FALSE ),"0")</f>
        <v>0</v>
      </c>
      <c r="I44" s="368" t="str">
        <f>IF(AND( 'Val-Dép'!H20="Bq post", 'Val-Dép'!I20&lt;&gt;"note de crédit"),VLOOKUP('Val-Dép'!AA20,'Val-Dép'!AA20:AF20,6,FALSE ),"0")</f>
        <v>0</v>
      </c>
      <c r="J44" s="368" t="str">
        <f>IF(AND( 'Val-Dép'!H44="Bq post", 'Val-Dép'!H44&lt;&gt;"note de crédit"),VLOOKUP('Val-Dép'!H44,'Val-Dép'!H42:AM42,32,FALSE ),"0")</f>
        <v>0</v>
      </c>
      <c r="N44" s="368" t="str">
        <f>IF(AND( 'Val-Dép'!H20="Caisse", 'Val-Dép'!I20&lt;&gt;"note de crédit"),VLOOKUP('Val-Dép'!AA20,'Val-Dép'!AA20:AF20,6,FALSE ),"0")</f>
        <v>0</v>
      </c>
      <c r="O44" s="368" t="str">
        <f>IF(AND( 'Val-Dép'!H44="Caisse", 'Val-Dép'!H44&lt;&gt;"note de crédit"),VLOOKUP('Val-Dép'!H44,'Val-Dép'!H42:AM42,32,FALSE ),"0")</f>
        <v>0</v>
      </c>
    </row>
    <row r="45" spans="3:18" s="360" customFormat="1" ht="15" customHeight="1" x14ac:dyDescent="0.25">
      <c r="D45" s="368" t="str">
        <f>IF(AND( 'Val-Dép'!H21="Banque", 'Val-Dép'!I21&lt;&gt;"note de crédit"),VLOOKUP('Val-Dép'!AA21,'Val-Dép'!AA21:AF21,6,FALSE ),"0")</f>
        <v>0</v>
      </c>
      <c r="E45" s="368" t="str">
        <f>IF(AND( 'Val-Dép'!H45="Banque", 'Val-Dép'!H45&lt;&gt;"note de crédit"),VLOOKUP('Val-Dép'!H45,'Val-Dép'!H43:AM43,32,FALSE ),"0")</f>
        <v>0</v>
      </c>
      <c r="I45" s="368" t="str">
        <f>IF(AND( 'Val-Dép'!H21="Bq post", 'Val-Dép'!I21&lt;&gt;"note de crédit"),VLOOKUP('Val-Dép'!AA21,'Val-Dép'!AA21:AF21,6,FALSE ),"0")</f>
        <v>0</v>
      </c>
      <c r="J45" s="368" t="str">
        <f>IF(AND( 'Val-Dép'!H45="Bq post", 'Val-Dép'!H45&lt;&gt;"note de crédit"),VLOOKUP('Val-Dép'!H45,'Val-Dép'!H43:AM43,32,FALSE ),"0")</f>
        <v>0</v>
      </c>
      <c r="N45" s="368" t="str">
        <f>IF(AND( 'Val-Dép'!H21="Caisse", 'Val-Dép'!I21&lt;&gt;"note de crédit"),VLOOKUP('Val-Dép'!AA21,'Val-Dép'!AA21:AF21,6,FALSE ),"0")</f>
        <v>0</v>
      </c>
      <c r="O45" s="368" t="str">
        <f>IF(AND( 'Val-Dép'!H45="Caisse", 'Val-Dép'!H45&lt;&gt;"note de crédit"),VLOOKUP('Val-Dép'!H45,'Val-Dép'!H43:AM43,32,FALSE ),"0")</f>
        <v>0</v>
      </c>
    </row>
    <row r="46" spans="3:18" s="360" customFormat="1" ht="15" customHeight="1" thickBot="1" x14ac:dyDescent="0.25">
      <c r="C46" s="485"/>
      <c r="D46" s="484" t="e">
        <f>IF('Val-Dép'!#REF!="","",'Val-Dép'!#REF!)</f>
        <v>#REF!</v>
      </c>
      <c r="E46" s="484" t="str">
        <f>IF('Val-Dép'!D58="","",'Val-Dép'!D58)</f>
        <v>crédit-1an</v>
      </c>
      <c r="F46" s="485"/>
      <c r="G46" s="485"/>
      <c r="H46" s="485"/>
      <c r="I46" s="484" t="str">
        <f>IF('Val-Dép'!G58="","",'Val-Dép'!G58)</f>
        <v>Caisse</v>
      </c>
      <c r="J46" s="484" t="str">
        <f>IF('Val-Dép'!H58="","",'Val-Dép'!H58)</f>
        <v>570</v>
      </c>
      <c r="K46" s="485"/>
      <c r="L46" s="485"/>
      <c r="M46" s="485"/>
      <c r="N46" s="484" t="e">
        <f>IF('Val-Dép'!#REF!="","",'Val-Dép'!#REF!)</f>
        <v>#REF!</v>
      </c>
      <c r="O46" s="484" t="e">
        <f>IF('Val-Dép'!#REF!="","",'Val-Dép'!#REF!)</f>
        <v>#REF!</v>
      </c>
    </row>
    <row r="47" spans="3:18" s="360" customFormat="1" ht="15" customHeight="1" x14ac:dyDescent="0.2">
      <c r="C47" s="4402" t="s">
        <v>1677</v>
      </c>
      <c r="D47" s="484" t="e">
        <f>IF('Val-Dép'!#REF!="","",'Val-Dép'!#REF!)</f>
        <v>#REF!</v>
      </c>
      <c r="E47" s="484" t="str">
        <f>IF('Val-Dép'!D59="","",'Val-Dép'!D59)</f>
        <v>crédit-1an</v>
      </c>
      <c r="F47" s="4404" t="s">
        <v>1678</v>
      </c>
      <c r="H47" s="4407" t="s">
        <v>1677</v>
      </c>
      <c r="I47" s="484" t="str">
        <f>IF('Val-Dép'!G59="","",'Val-Dép'!G59)</f>
        <v>crédit+1an</v>
      </c>
      <c r="J47" s="484" t="str">
        <f>IF('Val-Dép'!H59="","",'Val-Dép'!H59)</f>
        <v>173</v>
      </c>
      <c r="K47" s="4409" t="s">
        <v>1678</v>
      </c>
      <c r="M47" s="4407" t="s">
        <v>1677</v>
      </c>
      <c r="N47" s="484" t="e">
        <f>IF('Val-Dép'!#REF!="","",'Val-Dép'!#REF!)</f>
        <v>#REF!</v>
      </c>
      <c r="O47" s="484" t="e">
        <f>IF('Val-Dép'!#REF!="","",'Val-Dép'!#REF!)</f>
        <v>#REF!</v>
      </c>
      <c r="P47" s="4411" t="s">
        <v>1678</v>
      </c>
    </row>
    <row r="48" spans="3:18" s="360" customFormat="1" ht="15" customHeight="1" x14ac:dyDescent="0.2">
      <c r="C48" s="4402"/>
      <c r="D48" s="484" t="e">
        <f>IF('Val-Dép'!#REF!="","",'Val-Dép'!#REF!)</f>
        <v>#REF!</v>
      </c>
      <c r="E48" s="484" t="str">
        <f>IF('Val-Dép'!D60="","",'Val-Dép'!D60)</f>
        <v>crédit-1an</v>
      </c>
      <c r="F48" s="4405"/>
      <c r="H48" s="4408"/>
      <c r="I48" s="484" t="str">
        <f>IF('Val-Dép'!G60="","",'Val-Dép'!G60)</f>
        <v>crédit+1an</v>
      </c>
      <c r="J48" s="484" t="str">
        <f>IF('Val-Dép'!H60="","",'Val-Dép'!H60)</f>
        <v>173</v>
      </c>
      <c r="K48" s="4410"/>
      <c r="M48" s="4408"/>
      <c r="N48" s="484" t="e">
        <f>IF('Val-Dép'!#REF!="","",'Val-Dép'!#REF!)</f>
        <v>#REF!</v>
      </c>
      <c r="O48" s="484" t="e">
        <f>IF('Val-Dép'!#REF!="","",'Val-Dép'!#REF!)</f>
        <v>#REF!</v>
      </c>
      <c r="P48" s="4412"/>
    </row>
    <row r="49" spans="3:18" s="360" customFormat="1" ht="15" customHeight="1" x14ac:dyDescent="0.2">
      <c r="C49" s="4402"/>
      <c r="D49" s="484" t="e">
        <f>IF('Val-Dép'!#REF!="","",'Val-Dép'!#REF!)</f>
        <v>#REF!</v>
      </c>
      <c r="E49" s="484" t="str">
        <f>IF('Val-Dép'!D61="","",'Val-Dép'!D61)</f>
        <v>crédit-1an</v>
      </c>
      <c r="F49" s="4405"/>
      <c r="H49" s="4408"/>
      <c r="I49" s="484" t="e">
        <f>IF('Val-Dép'!#REF!="","",'Val-Dép'!#REF!)</f>
        <v>#REF!</v>
      </c>
      <c r="J49" s="484" t="str">
        <f>IF('Val-Dép'!H61="","",'Val-Dép'!H61)</f>
        <v>173</v>
      </c>
      <c r="K49" s="4410"/>
      <c r="M49" s="4408"/>
      <c r="N49" s="484" t="e">
        <f>IF('Val-Dép'!#REF!="","",'Val-Dép'!#REF!)</f>
        <v>#REF!</v>
      </c>
      <c r="O49" s="484" t="e">
        <f>IF('Val-Dép'!#REF!="","",'Val-Dép'!#REF!)</f>
        <v>#REF!</v>
      </c>
      <c r="P49" s="4412"/>
    </row>
    <row r="50" spans="3:18" s="360" customFormat="1" ht="15" customHeight="1" x14ac:dyDescent="0.2">
      <c r="C50" s="4402"/>
      <c r="D50" s="484" t="e">
        <f>IF('Val-Dép'!#REF!="","",'Val-Dép'!#REF!)</f>
        <v>#REF!</v>
      </c>
      <c r="E50" s="484" t="str">
        <f>IF('Val-Dép'!D62="","",'Val-Dép'!D62)</f>
        <v>Emprunt Bq-1an</v>
      </c>
      <c r="F50" s="4405"/>
      <c r="H50" s="4408"/>
      <c r="I50" s="484" t="str">
        <f>IF('Val-Dép'!G62="","",'Val-Dép'!G62)</f>
        <v>crédit+1an</v>
      </c>
      <c r="J50" s="484" t="str">
        <f>IF('Val-Dép'!H62="","",'Val-Dép'!H62)</f>
        <v>173</v>
      </c>
      <c r="K50" s="4410"/>
      <c r="M50" s="4408"/>
      <c r="N50" s="484" t="e">
        <f>IF('Val-Dép'!#REF!="","",'Val-Dép'!#REF!)</f>
        <v>#REF!</v>
      </c>
      <c r="O50" s="484" t="e">
        <f>IF('Val-Dép'!#REF!="","",'Val-Dép'!#REF!)</f>
        <v>#REF!</v>
      </c>
      <c r="P50" s="4412"/>
    </row>
    <row r="51" spans="3:18" s="360" customFormat="1" ht="15" customHeight="1" x14ac:dyDescent="0.2">
      <c r="C51" s="4402"/>
      <c r="D51" s="484" t="e">
        <f>IF('Val-Dép'!#REF!="","",'Val-Dép'!#REF!)</f>
        <v>#REF!</v>
      </c>
      <c r="E51" s="484" t="str">
        <f>IF('Val-Dép'!D63="","",'Val-Dép'!D63)</f>
        <v>crédit-1an</v>
      </c>
      <c r="F51" s="4405"/>
      <c r="H51" s="4408"/>
      <c r="I51" s="484" t="str">
        <f>IF('Val-Dép'!G63="","",'Val-Dép'!G63)</f>
        <v>crédit+1an</v>
      </c>
      <c r="J51" s="484" t="str">
        <f>IF('Val-Dép'!H63="","",'Val-Dép'!H63)</f>
        <v>173</v>
      </c>
      <c r="K51" s="4410"/>
      <c r="M51" s="4408"/>
      <c r="N51" s="484" t="e">
        <f>IF('Val-Dép'!#REF!="","",'Val-Dép'!#REF!)</f>
        <v>#REF!</v>
      </c>
      <c r="O51" s="484" t="e">
        <f>IF('Val-Dép'!#REF!="","",'Val-Dép'!#REF!)</f>
        <v>#REF!</v>
      </c>
      <c r="P51" s="4412"/>
    </row>
    <row r="52" spans="3:18" s="360" customFormat="1" ht="15" customHeight="1" thickBot="1" x14ac:dyDescent="0.3">
      <c r="C52" s="4403"/>
      <c r="D52" s="372" t="s">
        <v>1661</v>
      </c>
      <c r="E52" s="374" t="s">
        <v>1660</v>
      </c>
      <c r="F52" s="4406"/>
      <c r="H52" s="4408"/>
      <c r="I52" s="372" t="s">
        <v>1667</v>
      </c>
      <c r="J52" s="373" t="s">
        <v>1665</v>
      </c>
      <c r="K52" s="4410"/>
      <c r="M52" s="4408"/>
      <c r="N52" s="372" t="s">
        <v>1679</v>
      </c>
      <c r="O52" s="374" t="s">
        <v>1666</v>
      </c>
      <c r="P52" s="4412"/>
    </row>
    <row r="53" spans="3:18" s="360" customFormat="1" ht="15" customHeight="1" x14ac:dyDescent="0.25"/>
    <row r="54" spans="3:18" s="360" customFormat="1" ht="15" customHeight="1" x14ac:dyDescent="0.25">
      <c r="C54" s="536"/>
      <c r="D54" s="523" t="e">
        <f>SUM(D36:D51)</f>
        <v>#REF!</v>
      </c>
      <c r="E54" s="523">
        <f>SUM(E37:E51)</f>
        <v>0</v>
      </c>
      <c r="F54" s="524"/>
      <c r="G54" s="533"/>
      <c r="H54" s="524"/>
      <c r="I54" s="523" t="e">
        <f>SUM(I36:I51)</f>
        <v>#REF!</v>
      </c>
      <c r="J54" s="523">
        <f>SUM(J37:J51)</f>
        <v>0</v>
      </c>
      <c r="K54" s="524"/>
      <c r="L54" s="533"/>
      <c r="M54" s="524"/>
      <c r="N54" s="523" t="e">
        <f>SUM(N36:N51)</f>
        <v>#REF!</v>
      </c>
      <c r="O54" s="523" t="e">
        <f>SUM(O37:O51)</f>
        <v>#REF!</v>
      </c>
      <c r="P54" s="524"/>
      <c r="Q54" s="524"/>
      <c r="R54" s="525"/>
    </row>
    <row r="55" spans="3:18" s="360" customFormat="1" ht="15" customHeight="1" x14ac:dyDescent="0.25">
      <c r="C55" s="514"/>
      <c r="D55" s="526"/>
      <c r="E55" s="526"/>
      <c r="F55" s="526"/>
      <c r="G55" s="534"/>
      <c r="H55" s="526"/>
      <c r="I55" s="526"/>
      <c r="J55" s="526"/>
      <c r="K55" s="526"/>
      <c r="L55" s="534"/>
      <c r="M55" s="526"/>
      <c r="N55" s="526"/>
      <c r="O55" s="526"/>
      <c r="P55" s="526"/>
      <c r="Q55" s="526"/>
      <c r="R55" s="527" t="s">
        <v>1939</v>
      </c>
    </row>
    <row r="56" spans="3:18" s="360" customFormat="1" ht="15" customHeight="1" x14ac:dyDescent="0.25">
      <c r="C56" s="30" t="s">
        <v>203</v>
      </c>
      <c r="D56" s="528" t="e">
        <f>D54-E54</f>
        <v>#REF!</v>
      </c>
      <c r="E56" s="526"/>
      <c r="F56" s="526"/>
      <c r="G56" s="534"/>
      <c r="H56" s="30" t="s">
        <v>203</v>
      </c>
      <c r="I56" s="528" t="e">
        <f>I54-J54</f>
        <v>#REF!</v>
      </c>
      <c r="J56" s="526"/>
      <c r="K56" s="526"/>
      <c r="L56" s="534"/>
      <c r="M56" s="30" t="s">
        <v>203</v>
      </c>
      <c r="N56" s="528" t="e">
        <f>N54-O54</f>
        <v>#REF!</v>
      </c>
      <c r="O56" s="526"/>
      <c r="P56" s="526"/>
      <c r="Q56" s="526"/>
      <c r="R56" s="529" t="e">
        <f>SUM(D56,I56,N56)</f>
        <v>#REF!</v>
      </c>
    </row>
    <row r="57" spans="3:18" s="360" customFormat="1" ht="15" customHeight="1" x14ac:dyDescent="0.25">
      <c r="C57" s="530"/>
      <c r="D57" s="531"/>
      <c r="E57" s="531"/>
      <c r="F57" s="531"/>
      <c r="G57" s="535"/>
      <c r="H57" s="531"/>
      <c r="I57" s="531"/>
      <c r="J57" s="531"/>
      <c r="K57" s="531"/>
      <c r="L57" s="535"/>
      <c r="M57" s="531"/>
      <c r="N57" s="531"/>
      <c r="O57" s="531"/>
      <c r="P57" s="531"/>
      <c r="Q57" s="531"/>
      <c r="R57" s="532"/>
    </row>
    <row r="58" spans="3:18" s="360" customFormat="1" ht="15" customHeight="1" x14ac:dyDescent="0.25"/>
    <row r="59" spans="3:18" s="360" customFormat="1" ht="15" customHeight="1" x14ac:dyDescent="0.25"/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</sheetData>
  <mergeCells count="12">
    <mergeCell ref="P47:P52"/>
    <mergeCell ref="D2:E2"/>
    <mergeCell ref="I2:J2"/>
    <mergeCell ref="N2:O2"/>
    <mergeCell ref="D17:E17"/>
    <mergeCell ref="I17:J17"/>
    <mergeCell ref="N17:O17"/>
    <mergeCell ref="C47:C52"/>
    <mergeCell ref="F47:F52"/>
    <mergeCell ref="H47:H52"/>
    <mergeCell ref="K47:K52"/>
    <mergeCell ref="M47:M52"/>
  </mergeCells>
  <pageMargins left="0.25" right="0.25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33"/>
  <sheetViews>
    <sheetView topLeftCell="E2" workbookViewId="0">
      <selection activeCell="E4" sqref="E4"/>
    </sheetView>
  </sheetViews>
  <sheetFormatPr baseColWidth="10" defaultRowHeight="13.8" x14ac:dyDescent="0.25"/>
  <cols>
    <col min="1" max="1" width="11.44140625" style="50"/>
    <col min="2" max="2" width="15.6640625" customWidth="1"/>
    <col min="3" max="3" width="11.44140625" style="50"/>
    <col min="5" max="5" width="20.5546875" customWidth="1"/>
    <col min="6" max="6" width="17.109375" customWidth="1"/>
    <col min="7" max="7" width="15.44140625" style="141" customWidth="1"/>
    <col min="8" max="8" width="18.33203125" style="141" customWidth="1"/>
    <col min="9" max="9" width="17.44140625" customWidth="1"/>
    <col min="10" max="10" width="10.77734375" style="141" customWidth="1"/>
    <col min="11" max="11" width="24.44140625" style="141" customWidth="1"/>
    <col min="12" max="12" width="14.6640625" style="141" customWidth="1"/>
    <col min="13" max="13" width="19.109375" customWidth="1"/>
    <col min="14" max="14" width="19.6640625" customWidth="1"/>
    <col min="15" max="15" width="21.109375" customWidth="1"/>
    <col min="16" max="16" width="22.5546875" customWidth="1"/>
    <col min="17" max="17" width="17" customWidth="1"/>
    <col min="18" max="18" width="19.44140625" customWidth="1"/>
  </cols>
  <sheetData>
    <row r="1" spans="1:18" x14ac:dyDescent="0.25">
      <c r="A1" s="50" t="s">
        <v>230</v>
      </c>
      <c r="B1" t="s">
        <v>229</v>
      </c>
      <c r="C1" s="50" t="s">
        <v>31</v>
      </c>
      <c r="D1" s="141" t="s">
        <v>350</v>
      </c>
      <c r="E1" s="141" t="s">
        <v>229</v>
      </c>
      <c r="F1" s="141" t="s">
        <v>2002</v>
      </c>
      <c r="G1" s="141" t="s">
        <v>2065</v>
      </c>
      <c r="H1" s="141" t="s">
        <v>169</v>
      </c>
      <c r="I1" s="141" t="s">
        <v>2379</v>
      </c>
      <c r="K1" s="141" t="s">
        <v>2447</v>
      </c>
      <c r="M1" s="141" t="s">
        <v>1954</v>
      </c>
      <c r="N1" s="141" t="s">
        <v>1955</v>
      </c>
      <c r="O1" s="141" t="s">
        <v>1956</v>
      </c>
      <c r="P1" s="141" t="s">
        <v>1972</v>
      </c>
      <c r="Q1" s="141" t="s">
        <v>199</v>
      </c>
    </row>
    <row r="2" spans="1:18" x14ac:dyDescent="0.25">
      <c r="A2" s="50">
        <v>10</v>
      </c>
      <c r="B2" t="s">
        <v>165</v>
      </c>
      <c r="C2" s="127"/>
      <c r="D2" s="143">
        <v>1</v>
      </c>
      <c r="E2" s="141" t="s">
        <v>165</v>
      </c>
      <c r="F2" s="141" t="s">
        <v>2047</v>
      </c>
      <c r="G2" s="141" t="s">
        <v>250</v>
      </c>
      <c r="H2" s="141" t="s">
        <v>1627</v>
      </c>
      <c r="I2" s="141" t="s">
        <v>169</v>
      </c>
      <c r="J2" s="141" t="s">
        <v>2296</v>
      </c>
      <c r="K2" s="141" t="s">
        <v>169</v>
      </c>
      <c r="L2" s="3496">
        <v>550</v>
      </c>
      <c r="M2" s="141" t="s">
        <v>1966</v>
      </c>
      <c r="N2" s="141" t="s">
        <v>1958</v>
      </c>
      <c r="O2" s="141" t="s">
        <v>1962</v>
      </c>
      <c r="P2" s="141" t="s">
        <v>1969</v>
      </c>
      <c r="Q2" s="141" t="s">
        <v>169</v>
      </c>
      <c r="R2" t="s">
        <v>170</v>
      </c>
    </row>
    <row r="3" spans="1:18" x14ac:dyDescent="0.25">
      <c r="A3" s="50">
        <v>1</v>
      </c>
      <c r="B3" t="s">
        <v>15</v>
      </c>
      <c r="C3" s="134">
        <v>1</v>
      </c>
      <c r="D3" s="143">
        <v>0.9</v>
      </c>
      <c r="E3" t="s">
        <v>294</v>
      </c>
      <c r="F3" s="141" t="s">
        <v>294</v>
      </c>
      <c r="G3" s="141" t="s">
        <v>294</v>
      </c>
      <c r="H3" s="141" t="s">
        <v>1647</v>
      </c>
      <c r="I3" s="141" t="s">
        <v>1627</v>
      </c>
      <c r="J3" s="141" t="s">
        <v>2290</v>
      </c>
      <c r="K3" s="141" t="s">
        <v>1627</v>
      </c>
      <c r="L3" s="3496">
        <v>560</v>
      </c>
      <c r="M3" s="141" t="s">
        <v>1967</v>
      </c>
      <c r="N3" s="141" t="s">
        <v>1959</v>
      </c>
      <c r="O3" s="141" t="s">
        <v>1963</v>
      </c>
      <c r="P3" s="141" t="s">
        <v>1970</v>
      </c>
      <c r="Q3" s="141" t="s">
        <v>1627</v>
      </c>
      <c r="R3" t="s">
        <v>2514</v>
      </c>
    </row>
    <row r="4" spans="1:18" ht="15.6" x14ac:dyDescent="0.3">
      <c r="A4" s="50">
        <v>8</v>
      </c>
      <c r="B4" s="9" t="s">
        <v>6</v>
      </c>
      <c r="C4" s="134">
        <v>0.21</v>
      </c>
      <c r="D4" s="143">
        <v>0.8</v>
      </c>
      <c r="E4" s="141" t="s">
        <v>170</v>
      </c>
      <c r="F4" s="141" t="s">
        <v>351</v>
      </c>
      <c r="G4" s="5" t="s">
        <v>306</v>
      </c>
      <c r="H4" s="141" t="s">
        <v>2300</v>
      </c>
      <c r="I4" s="141" t="s">
        <v>1647</v>
      </c>
      <c r="K4" s="141" t="s">
        <v>1647</v>
      </c>
      <c r="L4" s="3496">
        <v>570</v>
      </c>
      <c r="M4" s="141" t="s">
        <v>1968</v>
      </c>
      <c r="N4" s="141" t="s">
        <v>1960</v>
      </c>
      <c r="O4" s="141" t="s">
        <v>1964</v>
      </c>
      <c r="P4" s="141" t="s">
        <v>1971</v>
      </c>
      <c r="Q4" s="141" t="s">
        <v>1647</v>
      </c>
      <c r="R4" t="s">
        <v>2515</v>
      </c>
    </row>
    <row r="5" spans="1:18" ht="15.6" x14ac:dyDescent="0.3">
      <c r="A5" s="50">
        <v>12</v>
      </c>
      <c r="B5" t="s">
        <v>172</v>
      </c>
      <c r="C5" s="134">
        <v>0.06</v>
      </c>
      <c r="D5" s="143">
        <v>0.7</v>
      </c>
      <c r="E5" s="71" t="s">
        <v>251</v>
      </c>
      <c r="F5" s="141" t="s">
        <v>248</v>
      </c>
      <c r="G5" s="5" t="s">
        <v>2517</v>
      </c>
      <c r="H5" s="141" t="s">
        <v>2301</v>
      </c>
      <c r="I5" s="141" t="s">
        <v>2300</v>
      </c>
      <c r="K5" s="141" t="s">
        <v>2467</v>
      </c>
      <c r="L5" s="3496">
        <v>173</v>
      </c>
      <c r="M5" s="141" t="s">
        <v>1957</v>
      </c>
      <c r="N5" s="141" t="s">
        <v>1961</v>
      </c>
      <c r="O5" s="141" t="s">
        <v>1965</v>
      </c>
      <c r="Q5" s="141" t="s">
        <v>2300</v>
      </c>
      <c r="R5" t="s">
        <v>1521</v>
      </c>
    </row>
    <row r="6" spans="1:18" ht="15.6" x14ac:dyDescent="0.3">
      <c r="C6" s="338">
        <v>0</v>
      </c>
      <c r="D6" s="143">
        <v>0.6</v>
      </c>
      <c r="E6" t="s">
        <v>351</v>
      </c>
      <c r="F6" s="141" t="s">
        <v>235</v>
      </c>
      <c r="G6" s="5" t="s">
        <v>307</v>
      </c>
      <c r="H6" s="141" t="s">
        <v>2302</v>
      </c>
      <c r="I6" s="141" t="s">
        <v>2301</v>
      </c>
      <c r="K6" s="141" t="s">
        <v>2495</v>
      </c>
      <c r="L6" s="3818">
        <v>430</v>
      </c>
      <c r="Q6" s="141" t="s">
        <v>2301</v>
      </c>
      <c r="R6" t="s">
        <v>278</v>
      </c>
    </row>
    <row r="7" spans="1:18" ht="15.6" x14ac:dyDescent="0.3">
      <c r="B7" s="141"/>
      <c r="C7" s="338"/>
      <c r="D7" s="143">
        <v>0.5</v>
      </c>
      <c r="E7" s="141" t="s">
        <v>248</v>
      </c>
      <c r="F7" s="141" t="s">
        <v>250</v>
      </c>
      <c r="G7" s="5" t="s">
        <v>2066</v>
      </c>
      <c r="H7" s="141" t="s">
        <v>2303</v>
      </c>
      <c r="I7" s="141" t="s">
        <v>2302</v>
      </c>
      <c r="K7" s="141" t="s">
        <v>2496</v>
      </c>
      <c r="L7" s="3818">
        <v>174</v>
      </c>
      <c r="M7" s="541" t="s">
        <v>1882</v>
      </c>
      <c r="N7" s="541" t="s">
        <v>1882</v>
      </c>
      <c r="O7" s="541" t="s">
        <v>1882</v>
      </c>
      <c r="P7" s="541" t="s">
        <v>1882</v>
      </c>
      <c r="Q7" s="141" t="s">
        <v>2302</v>
      </c>
      <c r="R7" s="3834" t="s">
        <v>2516</v>
      </c>
    </row>
    <row r="8" spans="1:18" ht="15.6" x14ac:dyDescent="0.3">
      <c r="B8" s="141"/>
      <c r="C8" s="338"/>
      <c r="D8" s="143">
        <v>0.4</v>
      </c>
      <c r="E8" s="141" t="s">
        <v>235</v>
      </c>
      <c r="F8" s="141" t="s">
        <v>175</v>
      </c>
      <c r="G8" s="5" t="s">
        <v>4</v>
      </c>
      <c r="H8" s="141" t="s">
        <v>2298</v>
      </c>
      <c r="I8" s="141" t="s">
        <v>2303</v>
      </c>
      <c r="K8" s="141" t="s">
        <v>2497</v>
      </c>
      <c r="L8" s="3818">
        <v>439</v>
      </c>
      <c r="Q8" s="141" t="s">
        <v>2303</v>
      </c>
      <c r="R8" t="s">
        <v>289</v>
      </c>
    </row>
    <row r="9" spans="1:18" ht="15.6" x14ac:dyDescent="0.3">
      <c r="A9" s="50">
        <v>14</v>
      </c>
      <c r="B9" t="s">
        <v>175</v>
      </c>
      <c r="C9" s="338"/>
      <c r="D9" s="143">
        <v>0.3</v>
      </c>
      <c r="E9" s="141" t="s">
        <v>250</v>
      </c>
      <c r="F9" s="141" t="s">
        <v>1698</v>
      </c>
      <c r="G9" s="5" t="s">
        <v>2068</v>
      </c>
      <c r="H9" s="141" t="s">
        <v>2299</v>
      </c>
      <c r="I9" s="141" t="s">
        <v>2298</v>
      </c>
      <c r="L9" s="3818"/>
      <c r="Q9" s="141" t="s">
        <v>2298</v>
      </c>
    </row>
    <row r="10" spans="1:18" x14ac:dyDescent="0.25">
      <c r="A10" s="50">
        <v>2</v>
      </c>
      <c r="B10" t="s">
        <v>12</v>
      </c>
      <c r="D10" s="143">
        <v>0.2</v>
      </c>
      <c r="E10" t="s">
        <v>175</v>
      </c>
      <c r="F10" s="141" t="s">
        <v>218</v>
      </c>
      <c r="G10" s="141" t="s">
        <v>2047</v>
      </c>
      <c r="H10" s="141" t="s">
        <v>2378</v>
      </c>
      <c r="I10" s="141" t="s">
        <v>2299</v>
      </c>
      <c r="K10" s="141" t="s">
        <v>2504</v>
      </c>
      <c r="L10" s="3818">
        <v>439</v>
      </c>
      <c r="Q10" s="141" t="s">
        <v>2299</v>
      </c>
      <c r="R10" s="3834" t="s">
        <v>1882</v>
      </c>
    </row>
    <row r="11" spans="1:18" x14ac:dyDescent="0.25">
      <c r="A11" s="50">
        <v>3</v>
      </c>
      <c r="B11" t="s">
        <v>10</v>
      </c>
      <c r="C11" s="134"/>
      <c r="D11" s="143">
        <v>0.1</v>
      </c>
      <c r="E11" t="s">
        <v>12</v>
      </c>
      <c r="F11" s="141" t="s">
        <v>4</v>
      </c>
      <c r="G11" s="141" t="s">
        <v>2378</v>
      </c>
      <c r="H11" s="141" t="s">
        <v>1879</v>
      </c>
      <c r="I11" s="141" t="s">
        <v>1879</v>
      </c>
      <c r="K11" s="141" t="s">
        <v>2505</v>
      </c>
      <c r="L11" s="3818">
        <v>173</v>
      </c>
      <c r="Q11" s="141" t="s">
        <v>1879</v>
      </c>
    </row>
    <row r="12" spans="1:18" x14ac:dyDescent="0.25">
      <c r="A12" s="50">
        <v>15</v>
      </c>
      <c r="B12" t="s">
        <v>176</v>
      </c>
      <c r="D12" s="143">
        <v>0</v>
      </c>
      <c r="E12" s="141" t="s">
        <v>2047</v>
      </c>
      <c r="F12" s="8" t="s">
        <v>18</v>
      </c>
      <c r="G12" s="141" t="s">
        <v>2378</v>
      </c>
      <c r="H12" s="141" t="s">
        <v>1880</v>
      </c>
      <c r="I12" s="141" t="s">
        <v>1880</v>
      </c>
      <c r="K12" s="141" t="s">
        <v>2435</v>
      </c>
      <c r="L12" s="141" t="s">
        <v>2449</v>
      </c>
      <c r="Q12" s="141" t="s">
        <v>1880</v>
      </c>
    </row>
    <row r="13" spans="1:18" x14ac:dyDescent="0.25">
      <c r="A13" s="50">
        <v>4</v>
      </c>
      <c r="B13" t="s">
        <v>9</v>
      </c>
      <c r="D13" s="143"/>
      <c r="E13" s="141" t="s">
        <v>1698</v>
      </c>
      <c r="F13" s="141" t="s">
        <v>2016</v>
      </c>
      <c r="H13" s="141" t="s">
        <v>1881</v>
      </c>
      <c r="I13" s="141" t="s">
        <v>1881</v>
      </c>
      <c r="K13" s="141" t="s">
        <v>2436</v>
      </c>
      <c r="L13" s="141" t="s">
        <v>2448</v>
      </c>
      <c r="Q13" s="141" t="s">
        <v>1881</v>
      </c>
    </row>
    <row r="14" spans="1:18" ht="14.4" thickBot="1" x14ac:dyDescent="0.3">
      <c r="A14" s="50">
        <v>11</v>
      </c>
      <c r="B14" t="s">
        <v>4</v>
      </c>
      <c r="D14" s="143"/>
      <c r="E14" s="141" t="s">
        <v>218</v>
      </c>
      <c r="F14" s="141" t="s">
        <v>173</v>
      </c>
      <c r="H14" s="141" t="s">
        <v>1885</v>
      </c>
      <c r="I14" s="141" t="s">
        <v>1885</v>
      </c>
      <c r="K14" s="57" t="s">
        <v>2441</v>
      </c>
      <c r="L14" s="7" t="s">
        <v>2453</v>
      </c>
      <c r="Q14" s="141" t="s">
        <v>1885</v>
      </c>
    </row>
    <row r="15" spans="1:18" ht="14.4" thickTop="1" x14ac:dyDescent="0.25">
      <c r="A15" s="50">
        <v>5</v>
      </c>
      <c r="B15" t="s">
        <v>14</v>
      </c>
      <c r="C15" s="134"/>
      <c r="D15" s="143"/>
      <c r="E15" t="s">
        <v>4</v>
      </c>
      <c r="F15" s="141" t="s">
        <v>2073</v>
      </c>
      <c r="H15" s="141" t="s">
        <v>2378</v>
      </c>
      <c r="I15" s="141" t="s">
        <v>2372</v>
      </c>
      <c r="K15" s="3"/>
      <c r="L15" s="3"/>
      <c r="Q15" s="141" t="s">
        <v>2372</v>
      </c>
    </row>
    <row r="16" spans="1:18" x14ac:dyDescent="0.25">
      <c r="A16" s="50">
        <v>7</v>
      </c>
      <c r="B16" s="8" t="s">
        <v>18</v>
      </c>
      <c r="C16" s="134"/>
      <c r="D16" s="143"/>
      <c r="E16" s="141" t="s">
        <v>14</v>
      </c>
      <c r="F16" s="141" t="s">
        <v>1882</v>
      </c>
      <c r="H16" s="141" t="s">
        <v>2378</v>
      </c>
      <c r="I16" s="141" t="s">
        <v>2374</v>
      </c>
      <c r="K16" s="141" t="s">
        <v>2437</v>
      </c>
      <c r="L16" s="7" t="s">
        <v>2450</v>
      </c>
      <c r="Q16" s="141" t="s">
        <v>2374</v>
      </c>
    </row>
    <row r="17" spans="1:17" x14ac:dyDescent="0.25">
      <c r="E17" s="8" t="s">
        <v>18</v>
      </c>
      <c r="I17" s="141" t="s">
        <v>2373</v>
      </c>
      <c r="K17" s="141" t="s">
        <v>2438</v>
      </c>
      <c r="L17" s="7" t="s">
        <v>2451</v>
      </c>
      <c r="Q17" s="141" t="s">
        <v>2373</v>
      </c>
    </row>
    <row r="18" spans="1:17" ht="14.4" thickBot="1" x14ac:dyDescent="0.3">
      <c r="A18" s="50">
        <v>13</v>
      </c>
      <c r="B18" t="s">
        <v>173</v>
      </c>
      <c r="D18" s="143"/>
      <c r="E18" s="141" t="s">
        <v>2016</v>
      </c>
      <c r="I18" s="141" t="s">
        <v>2375</v>
      </c>
      <c r="K18" s="57" t="s">
        <v>2442</v>
      </c>
      <c r="L18" s="7" t="s">
        <v>2457</v>
      </c>
      <c r="Q18" s="141" t="s">
        <v>2375</v>
      </c>
    </row>
    <row r="19" spans="1:17" ht="14.4" thickTop="1" x14ac:dyDescent="0.25">
      <c r="A19" s="50">
        <v>9</v>
      </c>
      <c r="B19" t="s">
        <v>19</v>
      </c>
      <c r="C19" s="96"/>
      <c r="D19" s="143"/>
      <c r="E19" t="s">
        <v>173</v>
      </c>
      <c r="I19" s="141" t="s">
        <v>2376</v>
      </c>
      <c r="K19" s="3"/>
      <c r="L19" s="3"/>
      <c r="Q19" s="141" t="s">
        <v>2376</v>
      </c>
    </row>
    <row r="20" spans="1:17" x14ac:dyDescent="0.25">
      <c r="E20" s="419" t="s">
        <v>1883</v>
      </c>
      <c r="I20" s="141" t="s">
        <v>2377</v>
      </c>
      <c r="K20" s="141" t="s">
        <v>2439</v>
      </c>
      <c r="L20" s="7" t="s">
        <v>2455</v>
      </c>
      <c r="Q20" s="141" t="s">
        <v>2377</v>
      </c>
    </row>
    <row r="21" spans="1:17" x14ac:dyDescent="0.25">
      <c r="E21" s="125" t="s">
        <v>2365</v>
      </c>
      <c r="K21" s="141" t="s">
        <v>2440</v>
      </c>
      <c r="L21" s="7" t="s">
        <v>2456</v>
      </c>
      <c r="Q21" s="2850" t="s">
        <v>2380</v>
      </c>
    </row>
    <row r="22" spans="1:17" ht="14.4" thickBot="1" x14ac:dyDescent="0.3">
      <c r="H22" s="141" t="s">
        <v>1882</v>
      </c>
      <c r="I22" t="s">
        <v>1882</v>
      </c>
      <c r="K22" s="57" t="s">
        <v>2443</v>
      </c>
      <c r="L22" s="7" t="s">
        <v>2454</v>
      </c>
      <c r="Q22" s="141"/>
    </row>
    <row r="23" spans="1:17" ht="14.4" thickTop="1" x14ac:dyDescent="0.25">
      <c r="Q23" s="141" t="s">
        <v>1882</v>
      </c>
    </row>
    <row r="24" spans="1:17" x14ac:dyDescent="0.25">
      <c r="K24" s="141" t="s">
        <v>2444</v>
      </c>
      <c r="L24" s="141" t="s">
        <v>2458</v>
      </c>
    </row>
    <row r="25" spans="1:17" x14ac:dyDescent="0.25">
      <c r="K25" s="141" t="s">
        <v>2445</v>
      </c>
      <c r="L25" s="141" t="s">
        <v>2459</v>
      </c>
    </row>
    <row r="26" spans="1:17" x14ac:dyDescent="0.25">
      <c r="K26" s="141" t="s">
        <v>2446</v>
      </c>
      <c r="L26" s="141" t="s">
        <v>2452</v>
      </c>
    </row>
    <row r="30" spans="1:17" x14ac:dyDescent="0.25">
      <c r="K30" s="141" t="s">
        <v>1882</v>
      </c>
    </row>
    <row r="33" spans="11:11" x14ac:dyDescent="0.25">
      <c r="K33" s="141" t="s">
        <v>1965</v>
      </c>
    </row>
  </sheetData>
  <sortState ref="A31:F68">
    <sortCondition ref="E31"/>
  </sortState>
  <dataConsolidate/>
  <dataValidations count="2">
    <dataValidation type="list" allowBlank="1" showInputMessage="1" showErrorMessage="1" sqref="H22 H1:H16 Q15:Q20 I15:J20 K35:K40 L33:L38">
      <formula1>PAIEFOURNISSEUR</formula1>
    </dataValidation>
    <dataValidation type="list" allowBlank="1" showInputMessage="1" showErrorMessage="1" sqref="Q2:Q14 Q21:Q23">
      <formula1>$Q$2:$Q$23</formula1>
    </dataValidation>
  </dataValidations>
  <pageMargins left="0.7" right="0.7" top="0.75" bottom="0.75" header="0.3" footer="0.3"/>
  <pageSetup paperSize="9" orientation="portrait" horizontalDpi="30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AD35"/>
  <sheetViews>
    <sheetView topLeftCell="D10" zoomScale="85" zoomScaleNormal="85" workbookViewId="0">
      <selection activeCell="N94" sqref="N94"/>
    </sheetView>
  </sheetViews>
  <sheetFormatPr baseColWidth="10" defaultRowHeight="13.8" x14ac:dyDescent="0.25"/>
  <cols>
    <col min="1" max="1" width="5" customWidth="1"/>
    <col min="2" max="2" width="8.44140625" customWidth="1"/>
    <col min="3" max="3" width="17.109375" customWidth="1"/>
    <col min="4" max="4" width="19.5546875" customWidth="1"/>
    <col min="5" max="5" width="9.6640625" customWidth="1"/>
    <col min="6" max="6" width="15.44140625" customWidth="1"/>
    <col min="7" max="7" width="14.33203125" customWidth="1"/>
    <col min="8" max="8" width="15.88671875" customWidth="1"/>
    <col min="9" max="9" width="14" customWidth="1"/>
    <col min="10" max="11" width="12.44140625" customWidth="1"/>
    <col min="12" max="12" width="11.6640625" customWidth="1"/>
    <col min="13" max="13" width="11.109375" customWidth="1"/>
    <col min="14" max="14" width="12.109375" customWidth="1"/>
    <col min="15" max="15" width="15.6640625" customWidth="1"/>
    <col min="16" max="16" width="14" customWidth="1"/>
    <col min="17" max="17" width="13" customWidth="1"/>
    <col min="18" max="18" width="12.88671875" customWidth="1"/>
    <col min="19" max="19" width="13.6640625" customWidth="1"/>
    <col min="20" max="20" width="6" customWidth="1"/>
    <col min="21" max="21" width="3.6640625" customWidth="1"/>
    <col min="22" max="22" width="5.6640625" customWidth="1"/>
  </cols>
  <sheetData>
    <row r="2" spans="1:30" x14ac:dyDescent="0.25">
      <c r="S2" s="3"/>
      <c r="T2" s="3"/>
    </row>
    <row r="3" spans="1:30" x14ac:dyDescent="0.25">
      <c r="S3" s="37"/>
      <c r="T3" s="3"/>
    </row>
    <row r="4" spans="1:30" x14ac:dyDescent="0.25">
      <c r="A4" s="4428" t="s">
        <v>24</v>
      </c>
      <c r="B4" s="4429"/>
      <c r="C4" s="4429"/>
      <c r="D4" s="4429"/>
      <c r="E4" s="4429"/>
      <c r="F4" s="4429"/>
      <c r="G4" s="4429"/>
      <c r="H4" s="4429"/>
      <c r="I4" s="4429"/>
      <c r="J4" s="4429"/>
      <c r="K4" s="4429"/>
      <c r="L4" s="4429"/>
      <c r="M4" s="4429"/>
      <c r="N4" s="4429"/>
      <c r="O4" s="4429"/>
      <c r="P4" s="4429"/>
      <c r="Q4" s="4429"/>
      <c r="R4" s="4429"/>
      <c r="S4" s="4430"/>
      <c r="T4" s="2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5">
      <c r="A5" s="4431"/>
      <c r="B5" s="4432"/>
      <c r="C5" s="4432"/>
      <c r="D5" s="4432"/>
      <c r="E5" s="4432"/>
      <c r="F5" s="4432"/>
      <c r="G5" s="4432"/>
      <c r="H5" s="4432"/>
      <c r="I5" s="4432"/>
      <c r="J5" s="4432"/>
      <c r="K5" s="4432"/>
      <c r="L5" s="4432"/>
      <c r="M5" s="4432"/>
      <c r="N5" s="4432"/>
      <c r="O5" s="4432"/>
      <c r="P5" s="4432"/>
      <c r="Q5" s="4432"/>
      <c r="R5" s="4432"/>
      <c r="S5" s="4433"/>
      <c r="T5" s="2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48" customHeight="1" x14ac:dyDescent="0.3">
      <c r="A6" s="89" t="s">
        <v>20</v>
      </c>
      <c r="B6" s="89" t="s">
        <v>21</v>
      </c>
      <c r="C6" s="89" t="s">
        <v>35</v>
      </c>
      <c r="D6" s="109"/>
      <c r="E6" s="569" t="s">
        <v>2062</v>
      </c>
      <c r="F6" s="4439" t="s">
        <v>23</v>
      </c>
      <c r="G6" s="4440"/>
      <c r="H6" s="4441"/>
      <c r="I6" s="4443" t="s">
        <v>257</v>
      </c>
      <c r="J6" s="4444"/>
      <c r="K6" s="110" t="s">
        <v>260</v>
      </c>
      <c r="L6" s="4443" t="s">
        <v>275</v>
      </c>
      <c r="M6" s="4445"/>
      <c r="N6" s="4445"/>
      <c r="O6" s="4446" t="s">
        <v>268</v>
      </c>
      <c r="P6" s="4447"/>
      <c r="Q6" s="4447"/>
      <c r="R6" s="4448"/>
      <c r="S6" s="4436" t="s">
        <v>112</v>
      </c>
      <c r="T6" s="2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78" customHeight="1" x14ac:dyDescent="0.25">
      <c r="A7" s="10"/>
      <c r="B7" s="10"/>
      <c r="C7" s="10"/>
      <c r="D7" s="10"/>
      <c r="E7" s="10"/>
      <c r="F7" s="80" t="s">
        <v>256</v>
      </c>
      <c r="G7" s="80" t="s">
        <v>269</v>
      </c>
      <c r="H7" s="80" t="s">
        <v>270</v>
      </c>
      <c r="I7" s="79" t="s">
        <v>258</v>
      </c>
      <c r="J7" s="81" t="s">
        <v>259</v>
      </c>
      <c r="K7" s="80" t="s">
        <v>3</v>
      </c>
      <c r="L7" s="82" t="s">
        <v>271</v>
      </c>
      <c r="M7" s="91" t="s">
        <v>272</v>
      </c>
      <c r="N7" s="90" t="s">
        <v>22</v>
      </c>
      <c r="O7" s="90" t="s">
        <v>276</v>
      </c>
      <c r="P7" s="90" t="s">
        <v>266</v>
      </c>
      <c r="Q7" s="80" t="s">
        <v>261</v>
      </c>
      <c r="R7" s="80" t="s">
        <v>267</v>
      </c>
      <c r="S7" s="4437"/>
      <c r="T7" s="2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3.5" customHeight="1" x14ac:dyDescent="0.25">
      <c r="A8" s="10"/>
      <c r="B8" s="10"/>
      <c r="C8" s="10"/>
      <c r="D8" s="10"/>
      <c r="E8" s="10"/>
      <c r="F8" s="4434">
        <v>81</v>
      </c>
      <c r="G8" s="4434">
        <v>82</v>
      </c>
      <c r="H8" s="4434">
        <v>83</v>
      </c>
      <c r="I8" s="4417">
        <v>84</v>
      </c>
      <c r="J8" s="4416">
        <v>85</v>
      </c>
      <c r="K8" s="4438"/>
      <c r="L8" s="4421">
        <v>86</v>
      </c>
      <c r="M8" s="4374"/>
      <c r="N8" s="4418">
        <v>87</v>
      </c>
      <c r="O8" s="4435">
        <v>55</v>
      </c>
      <c r="P8" s="4427">
        <v>56</v>
      </c>
      <c r="Q8" s="4442">
        <v>57</v>
      </c>
      <c r="R8" s="4416">
        <v>63</v>
      </c>
      <c r="S8" s="4434">
        <v>59</v>
      </c>
      <c r="T8" s="2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25">
      <c r="A9" s="11"/>
      <c r="B9" s="11"/>
      <c r="C9" s="11"/>
      <c r="D9" s="11"/>
      <c r="E9" s="11"/>
      <c r="F9" s="4434"/>
      <c r="G9" s="4434"/>
      <c r="H9" s="4434"/>
      <c r="I9" s="4417"/>
      <c r="J9" s="4416"/>
      <c r="K9" s="4438"/>
      <c r="L9" s="4422"/>
      <c r="M9" s="4423"/>
      <c r="N9" s="4419"/>
      <c r="O9" s="4435"/>
      <c r="P9" s="4427"/>
      <c r="Q9" s="4442"/>
      <c r="R9" s="4416"/>
      <c r="S9" s="4434"/>
      <c r="T9" s="2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46.5" customHeight="1" x14ac:dyDescent="0.25">
      <c r="A10" s="10"/>
      <c r="B10" s="10"/>
      <c r="C10" s="10"/>
      <c r="D10" s="10"/>
      <c r="E10" s="10"/>
      <c r="F10" s="102" t="s">
        <v>273</v>
      </c>
      <c r="G10" s="102"/>
      <c r="H10" s="103"/>
      <c r="I10" s="104"/>
      <c r="J10" s="105"/>
      <c r="K10" s="106"/>
      <c r="L10" s="100"/>
      <c r="M10" s="99"/>
      <c r="N10" s="101"/>
      <c r="O10" s="107"/>
      <c r="P10" s="108"/>
      <c r="Q10" s="111"/>
      <c r="R10" s="105"/>
      <c r="S10" s="103"/>
      <c r="T10" s="2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5" customHeight="1" x14ac:dyDescent="0.3">
      <c r="A11" s="21">
        <v>1</v>
      </c>
      <c r="B11" s="23">
        <f>'Val-Dép'!A35</f>
        <v>0</v>
      </c>
      <c r="C11" s="12" t="str">
        <f>'Val-Dép'!C35</f>
        <v>four01</v>
      </c>
      <c r="D11" s="577" t="s">
        <v>306</v>
      </c>
      <c r="E11" s="94">
        <f>IF((D11&lt;&gt;"note de crédit"),'Val-Dép'!AB35,'Val-Dép'!AC35*-1)</f>
        <v>750</v>
      </c>
      <c r="F11" s="42">
        <f>IF(D11="Intracom.",'Val-Dép'!S35,IF(D11="marchandises",'Val-Dép'!S35,IF(D11="note de crédit",'Val-Dép'!S35,0)))</f>
        <v>750</v>
      </c>
      <c r="G11" s="42">
        <f>IF(D11="services et biens",'Val-Dép'!S35, IF(D11="cocontractant",'Val-Dép'!S35, 0))</f>
        <v>0</v>
      </c>
      <c r="H11" s="42">
        <f>IF(D11="investissement",'Val-Dép'!S35,0)</f>
        <v>0</v>
      </c>
      <c r="I11" s="42"/>
      <c r="J11" s="43">
        <f>IF((D11="note de crédit"),'Val-Dép'!S35*-1,0)</f>
        <v>0</v>
      </c>
      <c r="K11" s="42"/>
      <c r="L11" s="42">
        <f>IF(D11="Intracom.",'Val-Dép'!S35,0)</f>
        <v>0</v>
      </c>
      <c r="M11" s="42"/>
      <c r="N11" s="42">
        <f>IF(D11="cocontractant",'Val-Dép'!S35,0)</f>
        <v>0</v>
      </c>
      <c r="O11" s="42">
        <f>IF(D11="intracomm.",'Val-Dép'!AD35,0)</f>
        <v>0</v>
      </c>
      <c r="P11" s="42">
        <f>IF(D11="cocontractant",'Val-Dép'!AE35,0)</f>
        <v>0</v>
      </c>
      <c r="Q11" s="42"/>
      <c r="R11" s="43">
        <f>IF((D11="note de crédit"),'Val-Dép'!X35,0)</f>
        <v>0</v>
      </c>
      <c r="S11" s="43">
        <f>IF((D11&lt;&gt;"note de crédit"),'Val-Dép'!Z35,0)</f>
        <v>0</v>
      </c>
      <c r="T11" s="2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15" customHeight="1" x14ac:dyDescent="0.3">
      <c r="A12" s="22">
        <v>2</v>
      </c>
      <c r="B12" s="23">
        <f>'Val-Dép'!A36</f>
        <v>0</v>
      </c>
      <c r="C12" s="12" t="str">
        <f>'Val-Dép'!C36</f>
        <v>four02</v>
      </c>
      <c r="D12" s="577" t="s">
        <v>306</v>
      </c>
      <c r="E12" s="94">
        <f>IF((D12&lt;&gt;"note de crédit"),'Val-Dép'!AB36,'Val-Dép'!AC36*-1)</f>
        <v>5000</v>
      </c>
      <c r="F12" s="42">
        <f>IF(D12="Intracom.",'Val-Dép'!S36,IF(D12="marchandises",'Val-Dép'!S36,IF(D12="note de crédit",'Val-Dép'!S36,0)))</f>
        <v>5000</v>
      </c>
      <c r="G12" s="42">
        <f>IF(D12="services et biens",'Val-Dép'!S36, IF(D12="cocontractant",'Val-Dép'!S36, 0))</f>
        <v>0</v>
      </c>
      <c r="H12" s="42">
        <f>IF(D12="investissement",'Val-Dép'!S36,0)</f>
        <v>0</v>
      </c>
      <c r="I12" s="43"/>
      <c r="J12" s="43">
        <f>IF((D12="note de crédit"),'Val-Dép'!S36*-1,0)</f>
        <v>0</v>
      </c>
      <c r="K12" s="43"/>
      <c r="L12" s="42">
        <f>IF(D12="Intracom.",'Val-Dép'!S36,0)</f>
        <v>0</v>
      </c>
      <c r="M12" s="43"/>
      <c r="N12" s="42">
        <f>IF(D12="cocontractant",'Val-Dép'!S36,0)</f>
        <v>0</v>
      </c>
      <c r="O12" s="42">
        <f>IF(D12="intracomm.",'Val-Dép'!AD36,0)</f>
        <v>0</v>
      </c>
      <c r="P12" s="42">
        <f>IF(D12="cocontractant",'Val-Dép'!AE36,0)</f>
        <v>0</v>
      </c>
      <c r="Q12" s="43"/>
      <c r="R12" s="43">
        <f>IF((D12="note de crédit"),'Val-Dép'!X36,0)</f>
        <v>0</v>
      </c>
      <c r="S12" s="43">
        <f>IF((D12&lt;&gt;"note de crédit"),'Val-Dép'!Z36,0)</f>
        <v>0</v>
      </c>
      <c r="T12" s="2"/>
    </row>
    <row r="13" spans="1:30" ht="15" customHeight="1" x14ac:dyDescent="0.3">
      <c r="A13" s="22">
        <v>3</v>
      </c>
      <c r="B13" s="23">
        <f>'Val-Dép'!A37</f>
        <v>0</v>
      </c>
      <c r="C13" s="12" t="str">
        <f>'Val-Dép'!C37</f>
        <v>four03</v>
      </c>
      <c r="D13" s="577" t="s">
        <v>2066</v>
      </c>
      <c r="E13" s="94">
        <f>IF((D13&lt;&gt;"note de crédit"),'Val-Dép'!AB37,'Val-Dép'!AC37*-1)</f>
        <v>0</v>
      </c>
      <c r="F13" s="42">
        <f>IF(D13="Intracom.",'Val-Dép'!S37,IF(D13="marchandises",'Val-Dép'!S37,IF(D13="note de crédit",'Val-Dép'!S37,0)))</f>
        <v>0</v>
      </c>
      <c r="G13" s="42">
        <f>IF(D13="services et biens",'Val-Dép'!S37, IF(D13="cocontractant",'Val-Dép'!S37, 0))</f>
        <v>0</v>
      </c>
      <c r="H13" s="42">
        <f>IF(D13="investissement",'Val-Dép'!S37,0)</f>
        <v>0</v>
      </c>
      <c r="I13" s="43"/>
      <c r="J13" s="43">
        <f>IF((D13="note de crédit"),'Val-Dép'!S37*-1,0)</f>
        <v>0</v>
      </c>
      <c r="K13" s="43"/>
      <c r="L13" s="42">
        <f>IF(D13="Intracom.",'Val-Dép'!S37,0)</f>
        <v>0</v>
      </c>
      <c r="M13" s="43"/>
      <c r="N13" s="42">
        <f>IF(D13="cocontractant",'Val-Dép'!S37,0)</f>
        <v>0</v>
      </c>
      <c r="O13" s="42">
        <f>IF(D13="intracomm.",'Val-Dép'!AD37,0)</f>
        <v>0</v>
      </c>
      <c r="P13" s="42">
        <f>IF(D13="cocontractant",'Val-Dép'!AE37,0)</f>
        <v>0</v>
      </c>
      <c r="Q13" s="43"/>
      <c r="R13" s="43">
        <f>IF((D13="note de crédit"),'Val-Dép'!X37,0)</f>
        <v>0</v>
      </c>
      <c r="S13" s="43">
        <f>IF((D13&lt;&gt;"note de crédit"),'Val-Dép'!Z37,0)</f>
        <v>0</v>
      </c>
      <c r="T13" s="2"/>
    </row>
    <row r="14" spans="1:30" ht="15" customHeight="1" x14ac:dyDescent="0.3">
      <c r="A14" s="22">
        <v>4</v>
      </c>
      <c r="B14" s="23">
        <f>'Val-Dép'!A38</f>
        <v>0</v>
      </c>
      <c r="C14" s="12">
        <f>'Val-Dép'!C38</f>
        <v>0</v>
      </c>
      <c r="D14" s="577" t="s">
        <v>307</v>
      </c>
      <c r="E14" s="94">
        <f>IF((D14&lt;&gt;"note de crédit"),'Val-Dép'!AB38,'Val-Dép'!AC38*-1)</f>
        <v>0</v>
      </c>
      <c r="F14" s="42">
        <f>IF(D14="Intracom.",'Val-Dép'!S38,IF(D14="marchandises",'Val-Dép'!S38,IF(D14="note de crédit",'Val-Dép'!S38,0)))</f>
        <v>0</v>
      </c>
      <c r="G14" s="42">
        <f>IF(D14="services et biens",'Val-Dép'!S38, IF(D14="cocontractant",'Val-Dép'!S38, 0))</f>
        <v>0</v>
      </c>
      <c r="H14" s="42">
        <f>IF(D14="investissement",'Val-Dép'!S38,0)</f>
        <v>0</v>
      </c>
      <c r="I14" s="43"/>
      <c r="J14" s="43">
        <f>IF((D14="note de crédit"),'Val-Dép'!S38*-1,0)</f>
        <v>0</v>
      </c>
      <c r="K14" s="43"/>
      <c r="L14" s="42">
        <f>IF(D14="Intracom.",'Val-Dép'!S38,0)</f>
        <v>0</v>
      </c>
      <c r="M14" s="43"/>
      <c r="N14" s="42">
        <f>IF(D14="cocontractant",'Val-Dép'!S38,0)</f>
        <v>0</v>
      </c>
      <c r="O14" s="42">
        <f>IF(D14="intracomm.",'Val-Dép'!AD38,0)</f>
        <v>0</v>
      </c>
      <c r="P14" s="42">
        <f>IF(D14="cocontractant",'Val-Dép'!AE38,0)</f>
        <v>0</v>
      </c>
      <c r="Q14" s="43"/>
      <c r="R14" s="43">
        <f>IF((D14="note de crédit"),'Val-Dép'!X38,0)</f>
        <v>0</v>
      </c>
      <c r="S14" s="43">
        <f>IF((D14&lt;&gt;"note de crédit"),'Val-Dép'!Z38,0)</f>
        <v>0</v>
      </c>
      <c r="T14" s="2"/>
    </row>
    <row r="15" spans="1:30" ht="15" customHeight="1" x14ac:dyDescent="0.3">
      <c r="A15" s="22">
        <v>5</v>
      </c>
      <c r="B15" s="23">
        <f>'Val-Dép'!A39</f>
        <v>0</v>
      </c>
      <c r="C15" s="12">
        <f>'Val-Dép'!C39</f>
        <v>0</v>
      </c>
      <c r="D15" s="577" t="s">
        <v>307</v>
      </c>
      <c r="E15" s="94">
        <f>IF((D15&lt;&gt;"note de crédit"),'Val-Dép'!AB39,'Val-Dép'!AC39*-1)</f>
        <v>0</v>
      </c>
      <c r="F15" s="42">
        <f>IF(D15="Intracom.",'Val-Dép'!S39,IF(D15="marchandises",'Val-Dép'!S39,IF(D15="note de crédit",'Val-Dép'!S39,0)))</f>
        <v>0</v>
      </c>
      <c r="G15" s="42">
        <f>IF(D15="services et biens",'Val-Dép'!S39, IF(D15="cocontractant",'Val-Dép'!S39, 0))</f>
        <v>0</v>
      </c>
      <c r="H15" s="42">
        <f>IF(D15="investissement",'Val-Dép'!S39,0)</f>
        <v>0</v>
      </c>
      <c r="I15" s="43"/>
      <c r="J15" s="43">
        <f>IF((D15="note de crédit"),'Val-Dép'!S39*-1,0)</f>
        <v>0</v>
      </c>
      <c r="K15" s="43"/>
      <c r="L15" s="42">
        <f>IF(D15="Intracom.",'Val-Dép'!S39,0)</f>
        <v>0</v>
      </c>
      <c r="M15" s="43"/>
      <c r="N15" s="42">
        <f>IF(D15="cocontractant",'Val-Dép'!S39,0)</f>
        <v>0</v>
      </c>
      <c r="O15" s="42">
        <f>IF(D15="intracomm.",'Val-Dép'!AD39,0)</f>
        <v>0</v>
      </c>
      <c r="P15" s="42">
        <f>IF(D15="cocontractant",'Val-Dép'!AE39,0)</f>
        <v>0</v>
      </c>
      <c r="Q15" s="43"/>
      <c r="R15" s="43">
        <f>IF((D15="note de crédit"),'Val-Dép'!X39,0)</f>
        <v>0</v>
      </c>
      <c r="S15" s="43">
        <f>IF((D15&lt;&gt;"note de crédit"),'Val-Dép'!Z39,0)</f>
        <v>0</v>
      </c>
      <c r="T15" s="2"/>
    </row>
    <row r="16" spans="1:30" s="130" customFormat="1" ht="15" customHeight="1" x14ac:dyDescent="0.3">
      <c r="A16" s="128">
        <v>6</v>
      </c>
      <c r="B16" s="23">
        <f>'Val-Dép'!A40</f>
        <v>0</v>
      </c>
      <c r="C16" s="12">
        <f>'Val-Dép'!C40</f>
        <v>0</v>
      </c>
      <c r="D16" s="577" t="s">
        <v>4</v>
      </c>
      <c r="E16" s="94">
        <f>IF((D16&lt;&gt;"note de crédit"),'Val-Dép'!AB40,'Val-Dép'!AC40*-1)</f>
        <v>0</v>
      </c>
      <c r="F16" s="42">
        <f>IF(D16="Intracom.",'Val-Dép'!S40,IF(D16="marchandises",'Val-Dép'!S40,IF(D16="note de crédit",'Val-Dép'!S40*-1,0)))</f>
        <v>0</v>
      </c>
      <c r="G16" s="42">
        <f>IF(D16="services et biens",'Val-Dép'!S40, IF(D16="cocontractant",'Val-Dép'!S40, 0))</f>
        <v>0</v>
      </c>
      <c r="H16" s="42">
        <f>IF(D16="investissement",'Val-Dép'!S40,0)</f>
        <v>0</v>
      </c>
      <c r="I16" s="571"/>
      <c r="J16" s="43">
        <f>IF((D16="note de crédit"),'Val-Dép'!S40,0)</f>
        <v>0</v>
      </c>
      <c r="K16" s="571"/>
      <c r="L16" s="42">
        <f>IF(D16="Intracom.",'Val-Dép'!S40,0)</f>
        <v>0</v>
      </c>
      <c r="M16" s="571"/>
      <c r="N16" s="42">
        <f>IF(D16="cocontractant",'Val-Dép'!S40,0)</f>
        <v>0</v>
      </c>
      <c r="O16" s="42">
        <f>IF(D16="intracomm.",'Val-Dép'!AD40,0)</f>
        <v>0</v>
      </c>
      <c r="P16" s="42">
        <f>IF(D16="cocontractant",'Val-Dép'!AE40,0)</f>
        <v>0</v>
      </c>
      <c r="Q16" s="571"/>
      <c r="R16" s="43" t="str">
        <f>IF((D16="note de crédit"),'Val-Dép'!X40,0)</f>
        <v>0</v>
      </c>
      <c r="S16" s="43">
        <f>IF((D16&lt;&gt;"note de crédit"),'Val-Dép'!Z40,0)</f>
        <v>0</v>
      </c>
      <c r="T16" s="129"/>
    </row>
    <row r="17" spans="1:20" ht="15" customHeight="1" x14ac:dyDescent="0.3">
      <c r="A17" s="22">
        <v>7</v>
      </c>
      <c r="B17" s="23">
        <f>'Val-Dép'!A41</f>
        <v>0</v>
      </c>
      <c r="C17" s="12">
        <f>'Val-Dép'!C41</f>
        <v>0</v>
      </c>
      <c r="D17" s="577" t="s">
        <v>307</v>
      </c>
      <c r="E17" s="94">
        <f>IF((D17&lt;&gt;"note de crédit"),'Val-Dép'!AB41,'Val-Dép'!AC41*-1)</f>
        <v>0</v>
      </c>
      <c r="F17" s="42">
        <f>IF(D17="Intracom.",'Val-Dép'!S41,IF(D17="marchandises",'Val-Dép'!S41,IF(D17="note de crédit",'Val-Dép'!S41,0)))</f>
        <v>0</v>
      </c>
      <c r="G17" s="42">
        <f>IF(D17="services et biens",'Val-Dép'!S41, IF(D17="cocontractant",'Val-Dép'!S41, 0))</f>
        <v>0</v>
      </c>
      <c r="H17" s="42">
        <f>IF(D17="investissement",'Val-Dép'!S41,0)</f>
        <v>0</v>
      </c>
      <c r="I17" s="43"/>
      <c r="J17" s="43">
        <f>IF((D17="note de crédit"),'Val-Dép'!S41*-1,0)</f>
        <v>0</v>
      </c>
      <c r="K17" s="43"/>
      <c r="L17" s="42">
        <f>IF(D17="Intracom.",'Val-Dép'!S41,0)</f>
        <v>0</v>
      </c>
      <c r="M17" s="43"/>
      <c r="N17" s="42">
        <f>IF(D17="cocontractant",'Val-Dép'!S41,0)</f>
        <v>0</v>
      </c>
      <c r="O17" s="42">
        <f>IF(D17="intracomm.",'Val-Dép'!AD41,0)</f>
        <v>0</v>
      </c>
      <c r="P17" s="42">
        <f>IF(D17="cocontractant",'Val-Dép'!AE41,0)</f>
        <v>0</v>
      </c>
      <c r="Q17" s="43"/>
      <c r="R17" s="43">
        <f>IF((D17="note de crédit"),'Val-Dép'!X41,0)</f>
        <v>0</v>
      </c>
      <c r="S17" s="43">
        <f>IF((D17&lt;&gt;"note de crédit"),'Val-Dép'!Z41,0)</f>
        <v>0</v>
      </c>
      <c r="T17" s="2"/>
    </row>
    <row r="18" spans="1:20" ht="15" customHeight="1" x14ac:dyDescent="0.3">
      <c r="A18" s="22">
        <v>8</v>
      </c>
      <c r="B18" s="23">
        <f>'Val-Dép'!A42</f>
        <v>0</v>
      </c>
      <c r="C18" s="12">
        <f>'Val-Dép'!C42</f>
        <v>0</v>
      </c>
      <c r="D18" s="577" t="s">
        <v>294</v>
      </c>
      <c r="E18" s="94">
        <f>IF((D18&lt;&gt;"note de crédit"),'Val-Dép'!AB42,'Val-Dép'!AC42*-1)</f>
        <v>0</v>
      </c>
      <c r="F18" s="42">
        <f>IF(D18="Intracom.",'Val-Dép'!S42,IF(D18="marchandises",'Val-Dép'!S42,IF(D18="note de crédit",'Val-Dép'!S42,0)))</f>
        <v>0</v>
      </c>
      <c r="G18" s="42">
        <f>IF(D18="services et biens",'Val-Dép'!S42, IF(D18="cocontractant",'Val-Dép'!S42, 0))</f>
        <v>0</v>
      </c>
      <c r="H18" s="42">
        <f>IF(D18="investissement",'Val-Dép'!S42,0)</f>
        <v>0</v>
      </c>
      <c r="I18" s="43"/>
      <c r="J18" s="43">
        <f>IF((D18="note de crédit"),'Val-Dép'!S42*-1,0)</f>
        <v>0</v>
      </c>
      <c r="K18" s="43"/>
      <c r="L18" s="42">
        <f>IF(D18="Intracom.",'Val-Dép'!S42,0)</f>
        <v>0</v>
      </c>
      <c r="M18" s="43"/>
      <c r="N18" s="42">
        <f>IF(D18="cocontractant",'Val-Dép'!S42,0)</f>
        <v>0</v>
      </c>
      <c r="O18" s="42">
        <f>IF(D18="intracomm.",'Val-Dép'!AD42,0)</f>
        <v>0</v>
      </c>
      <c r="P18" s="42" t="str">
        <f>IF(D18="cocontractant",'Val-Dép'!AE42,0)</f>
        <v>0</v>
      </c>
      <c r="Q18" s="43"/>
      <c r="R18" s="43">
        <f>IF((D18="note de crédit"),'Val-Dép'!X42,0)</f>
        <v>0</v>
      </c>
      <c r="S18" s="43">
        <f>IF((D18&lt;&gt;"note de crédit"),'Val-Dép'!Z42,0)</f>
        <v>0</v>
      </c>
      <c r="T18" s="2"/>
    </row>
    <row r="19" spans="1:20" ht="15" customHeight="1" x14ac:dyDescent="0.3">
      <c r="A19" s="22">
        <v>9</v>
      </c>
      <c r="B19" s="23">
        <f>'Val-Dép'!A43</f>
        <v>0</v>
      </c>
      <c r="C19" s="12">
        <f>'Val-Dép'!C43</f>
        <v>0</v>
      </c>
      <c r="D19" s="577" t="s">
        <v>250</v>
      </c>
      <c r="E19" s="94">
        <f>IF((D19&lt;&gt;"note de crédit"),'Val-Dép'!AB43,'Val-Dép'!AC43*-1)</f>
        <v>0</v>
      </c>
      <c r="F19" s="42">
        <f>IF(D19="Intracom.",'Val-Dép'!S43,IF(D19="marchandises",'Val-Dép'!S43,IF(D19="note de crédit",'Val-Dép'!S43,0)))</f>
        <v>0</v>
      </c>
      <c r="G19" s="42">
        <f>IF(D19="services et biens",'Val-Dép'!S43, IF(D19="cocontractant",'Val-Dép'!S43, 0))</f>
        <v>0</v>
      </c>
      <c r="H19" s="42">
        <f>IF(D19="investissement",'Val-Dép'!S43,0)</f>
        <v>0</v>
      </c>
      <c r="I19" s="43"/>
      <c r="J19" s="43">
        <f>IF((D19="note de crédit"),'Val-Dép'!S43*-1,0)</f>
        <v>0</v>
      </c>
      <c r="K19" s="43"/>
      <c r="L19" s="42">
        <f>IF(D19="Intracom.",'Val-Dép'!S43,0)</f>
        <v>0</v>
      </c>
      <c r="M19" s="43"/>
      <c r="N19" s="42">
        <f>IF(D19="cocontractant",'Val-Dép'!S43,0)</f>
        <v>0</v>
      </c>
      <c r="O19" s="42" t="str">
        <f>IF(D19="intracomm.",'Val-Dép'!AD43,0)</f>
        <v>0</v>
      </c>
      <c r="P19" s="42">
        <f>IF(D19="cocontractant",'Val-Dép'!AE43,0)</f>
        <v>0</v>
      </c>
      <c r="Q19" s="43"/>
      <c r="R19" s="43">
        <f>IF((D19="note de crédit"),'Val-Dép'!X43,0)</f>
        <v>0</v>
      </c>
      <c r="S19" s="43">
        <f>IF((D19&lt;&gt;"note de crédit"),'Val-Dép'!Z43,0)</f>
        <v>0</v>
      </c>
      <c r="T19" s="2"/>
    </row>
    <row r="20" spans="1:20" ht="15" customHeight="1" x14ac:dyDescent="0.3">
      <c r="A20" s="22">
        <v>10</v>
      </c>
      <c r="B20" s="23">
        <f>'Val-Dép'!A44</f>
        <v>0</v>
      </c>
      <c r="C20" s="12">
        <f>'Val-Dép'!C44</f>
        <v>0</v>
      </c>
      <c r="D20" s="577" t="s">
        <v>307</v>
      </c>
      <c r="E20" s="94">
        <f>IF((D20&lt;&gt;"note de crédit"),'Val-Dép'!AB44,'Val-Dép'!AC44*-1)</f>
        <v>0</v>
      </c>
      <c r="F20" s="42">
        <f>IF(D20="Intracom.",'Val-Dép'!S44,IF(D20="marchandises",'Val-Dép'!S44,IF(D20="note de crédit",'Val-Dép'!S44,0)))</f>
        <v>0</v>
      </c>
      <c r="G20" s="42">
        <f>IF(D20="services et biens",'Val-Dép'!S44, IF(D20="cocontractant",'Val-Dép'!S44, 0))</f>
        <v>0</v>
      </c>
      <c r="H20" s="42">
        <f>IF(D20="investissement",'Val-Dép'!S44,0)</f>
        <v>0</v>
      </c>
      <c r="I20" s="43"/>
      <c r="J20" s="43">
        <f>IF((D20="note de crédit"),'Val-Dép'!S44*-1,0)</f>
        <v>0</v>
      </c>
      <c r="K20" s="43"/>
      <c r="L20" s="42">
        <f>IF(D20="Intracom.",'Val-Dép'!S44,0)</f>
        <v>0</v>
      </c>
      <c r="M20" s="43"/>
      <c r="N20" s="42">
        <f>IF(D20="cocontractant",'Val-Dép'!S44,0)</f>
        <v>0</v>
      </c>
      <c r="O20" s="42">
        <f>IF(D20="intracomm.",'Val-Dép'!AD44,0)</f>
        <v>0</v>
      </c>
      <c r="P20" s="42">
        <f>IF(D20="cocontractant",'Val-Dép'!AE44,0)</f>
        <v>0</v>
      </c>
      <c r="Q20" s="43"/>
      <c r="R20" s="43">
        <f>IF((D20="note de crédit"),'Val-Dép'!X44,0)</f>
        <v>0</v>
      </c>
      <c r="S20" s="43">
        <f>IF((D20&lt;&gt;"note de crédit"),'Val-Dép'!Z44,0)</f>
        <v>0</v>
      </c>
      <c r="T20" s="2"/>
    </row>
    <row r="21" spans="1:20" ht="15" customHeight="1" x14ac:dyDescent="0.3">
      <c r="A21" s="22">
        <v>11</v>
      </c>
      <c r="B21" s="23">
        <f>'Val-Dép'!A45</f>
        <v>0</v>
      </c>
      <c r="C21" s="12">
        <f>'Val-Dép'!C45</f>
        <v>0</v>
      </c>
      <c r="D21" s="577" t="s">
        <v>2067</v>
      </c>
      <c r="E21" s="94"/>
      <c r="F21" s="42">
        <f>IF(D21="Intracom.",'Val-Dép'!S45,IF(D21="marchandises",'Val-Dép'!S45,IF(D21="note de crédit",'Val-Dép'!S45,0)))</f>
        <v>0</v>
      </c>
      <c r="G21" s="42">
        <f>IF(D21="services et biens",'Val-Dép'!S45, IF(D21="cocontractant",'Val-Dép'!S45, 0))</f>
        <v>0</v>
      </c>
      <c r="H21" s="42">
        <f>IF(D21="investissement",'Val-Dép'!S45,0)</f>
        <v>0</v>
      </c>
      <c r="I21" s="43"/>
      <c r="J21" s="43">
        <f>IF((D21="note de crédit"),'Val-Dép'!S45*-1,0)</f>
        <v>0</v>
      </c>
      <c r="K21" s="43"/>
      <c r="L21" s="42">
        <f>IF(D21="Intracom.",'Val-Dép'!S45,0)</f>
        <v>0</v>
      </c>
      <c r="M21" s="43"/>
      <c r="N21" s="42">
        <f>IF(D21="cocontractant",'Val-Dép'!S45,0)</f>
        <v>0</v>
      </c>
      <c r="O21" s="42">
        <f>IF(D21="intracomm.",'Val-Dép'!AD45,0)</f>
        <v>0</v>
      </c>
      <c r="P21" s="42">
        <f>IF(D21="cocontractant",'Val-Dép'!AE45,0)</f>
        <v>0</v>
      </c>
      <c r="Q21" s="43"/>
      <c r="R21" s="43">
        <f>IF((D21="note de crédit"),'Val-Dép'!X45,0)</f>
        <v>0</v>
      </c>
      <c r="S21" s="43">
        <f>IF((D21&lt;&gt;"note de crédit"),'Val-Dép'!Z45,0)</f>
        <v>0</v>
      </c>
      <c r="T21" s="2"/>
    </row>
    <row r="22" spans="1:20" ht="15" customHeight="1" x14ac:dyDescent="0.3">
      <c r="A22" s="16">
        <v>16</v>
      </c>
      <c r="B22" s="25"/>
      <c r="C22" s="12"/>
      <c r="D22" s="577"/>
      <c r="E22" s="95"/>
      <c r="F22" s="42"/>
      <c r="G22" s="42"/>
      <c r="H22" s="42"/>
      <c r="I22" s="572"/>
      <c r="J22" s="43"/>
      <c r="K22" s="572"/>
      <c r="L22" s="42"/>
      <c r="M22" s="572"/>
      <c r="N22" s="42"/>
      <c r="O22" s="42"/>
      <c r="P22" s="42"/>
      <c r="Q22" s="572"/>
      <c r="R22" s="43"/>
      <c r="S22" s="43"/>
      <c r="T22" s="2"/>
    </row>
    <row r="23" spans="1:20" ht="15" customHeight="1" x14ac:dyDescent="0.3">
      <c r="A23" s="19"/>
      <c r="B23" s="19"/>
      <c r="C23" s="20" t="s">
        <v>11</v>
      </c>
      <c r="D23" s="20"/>
      <c r="E23" s="126">
        <f t="shared" ref="E23:J23" si="0">SUM(E11:E22)</f>
        <v>5750</v>
      </c>
      <c r="F23" s="573">
        <f t="shared" si="0"/>
        <v>5750</v>
      </c>
      <c r="G23" s="573">
        <f t="shared" si="0"/>
        <v>0</v>
      </c>
      <c r="H23" s="573">
        <f t="shared" si="0"/>
        <v>0</v>
      </c>
      <c r="I23" s="573">
        <f t="shared" si="0"/>
        <v>0</v>
      </c>
      <c r="J23" s="573">
        <f t="shared" si="0"/>
        <v>0</v>
      </c>
      <c r="K23" s="573"/>
      <c r="L23" s="573">
        <f>SUM(L11:L22)</f>
        <v>0</v>
      </c>
      <c r="M23" s="573"/>
      <c r="N23" s="574">
        <f>SUM(N11:N22)</f>
        <v>0</v>
      </c>
      <c r="O23" s="517">
        <f>SUM(O11:O22)</f>
        <v>0</v>
      </c>
      <c r="P23" s="517">
        <f>SUM(P11:P22)</f>
        <v>0</v>
      </c>
      <c r="Q23" s="573"/>
      <c r="R23" s="517">
        <f>SUM(R11:R22)</f>
        <v>0</v>
      </c>
      <c r="S23" s="517">
        <f>SUM(S11:S22)</f>
        <v>0</v>
      </c>
      <c r="T23" s="28"/>
    </row>
    <row r="24" spans="1:20" ht="15" customHeight="1" x14ac:dyDescent="0.3">
      <c r="A24" s="4424" t="s">
        <v>25</v>
      </c>
      <c r="B24" s="4425"/>
      <c r="C24" s="4426"/>
      <c r="D24" s="93"/>
      <c r="E24" s="17" t="s">
        <v>26</v>
      </c>
      <c r="F24" s="17" t="s">
        <v>311</v>
      </c>
      <c r="G24" s="17" t="s">
        <v>312</v>
      </c>
      <c r="H24" s="17" t="s">
        <v>313</v>
      </c>
      <c r="I24" s="18" t="s">
        <v>27</v>
      </c>
      <c r="J24" s="18" t="s">
        <v>315</v>
      </c>
      <c r="K24" s="18"/>
      <c r="L24" s="18" t="s">
        <v>321</v>
      </c>
      <c r="M24" s="18" t="s">
        <v>27</v>
      </c>
      <c r="N24" s="132" t="s">
        <v>316</v>
      </c>
      <c r="O24" s="17" t="s">
        <v>317</v>
      </c>
      <c r="P24" s="17" t="s">
        <v>318</v>
      </c>
      <c r="Q24" s="17" t="s">
        <v>319</v>
      </c>
      <c r="R24" s="17" t="s">
        <v>320</v>
      </c>
      <c r="S24" s="17" t="s">
        <v>314</v>
      </c>
      <c r="T24" s="28"/>
    </row>
    <row r="25" spans="1:20" x14ac:dyDescent="0.25">
      <c r="S25" s="1"/>
      <c r="T25" s="3"/>
    </row>
    <row r="26" spans="1:20" x14ac:dyDescent="0.25">
      <c r="F26" s="4190" t="s">
        <v>310</v>
      </c>
      <c r="G26" s="4190"/>
      <c r="H26">
        <f>SUM(F23,G23,H23,S23)</f>
        <v>5750</v>
      </c>
      <c r="S26" s="3"/>
      <c r="T26" s="3"/>
    </row>
    <row r="27" spans="1:20" ht="16.2" thickBot="1" x14ac:dyDescent="0.35">
      <c r="F27" s="4420" t="s">
        <v>308</v>
      </c>
      <c r="G27" s="4420"/>
      <c r="H27" s="57">
        <f>SUM(O23,P23,R23)</f>
        <v>0</v>
      </c>
      <c r="N27" s="3"/>
      <c r="O27" s="3"/>
      <c r="P27" s="3"/>
      <c r="Q27" s="3"/>
      <c r="R27" s="576"/>
      <c r="S27" s="3"/>
      <c r="T27" s="3"/>
    </row>
    <row r="28" spans="1:20" ht="14.4" thickTop="1" x14ac:dyDescent="0.25">
      <c r="F28" s="112" t="s">
        <v>11</v>
      </c>
      <c r="H28" s="125">
        <f>SUM(H26,-H27)</f>
        <v>5750</v>
      </c>
      <c r="J28" s="141" t="s">
        <v>13</v>
      </c>
      <c r="K28" s="570">
        <f>R23</f>
        <v>0</v>
      </c>
      <c r="N28" s="141" t="s">
        <v>196</v>
      </c>
      <c r="O28" s="48">
        <f>S23</f>
        <v>0</v>
      </c>
      <c r="P28" s="3"/>
      <c r="Q28" s="3"/>
      <c r="R28" s="3"/>
      <c r="S28" s="3"/>
      <c r="T28" s="3"/>
    </row>
    <row r="29" spans="1:20" x14ac:dyDescent="0.25">
      <c r="D29" s="96"/>
      <c r="F29" s="47"/>
      <c r="K29" s="570">
        <f>P23</f>
        <v>0</v>
      </c>
      <c r="O29" s="477">
        <f>'LIV-SORTIE'!O29</f>
        <v>0</v>
      </c>
      <c r="P29" s="45"/>
      <c r="Q29" s="45"/>
      <c r="R29" s="3"/>
      <c r="S29" s="3"/>
      <c r="T29" s="3"/>
    </row>
    <row r="30" spans="1:20" x14ac:dyDescent="0.25">
      <c r="K30" s="570">
        <f>O23</f>
        <v>0</v>
      </c>
      <c r="O30" s="3"/>
      <c r="P30" s="3"/>
      <c r="Q30" s="3"/>
      <c r="R30" s="3"/>
      <c r="S30" s="3"/>
    </row>
    <row r="31" spans="1:20" x14ac:dyDescent="0.25">
      <c r="J31" s="37"/>
      <c r="K31" s="575">
        <f>'LIV-SORTIE'!N29</f>
        <v>0</v>
      </c>
      <c r="N31" s="37"/>
      <c r="O31" s="37"/>
      <c r="P31" s="3"/>
      <c r="Q31" s="3"/>
      <c r="R31" s="3"/>
      <c r="S31" s="3"/>
    </row>
    <row r="32" spans="1:20" x14ac:dyDescent="0.25">
      <c r="K32" s="47">
        <f>SUM(K28:K31)</f>
        <v>0</v>
      </c>
      <c r="O32" s="48">
        <f>SUM(O28:O31)</f>
        <v>0</v>
      </c>
      <c r="P32" s="3"/>
      <c r="Q32" s="3"/>
      <c r="R32" s="48"/>
      <c r="S32" s="3"/>
    </row>
    <row r="33" spans="12:19" x14ac:dyDescent="0.25">
      <c r="L33" s="558">
        <f>IF((K32&gt;O32),K32-O32,0)</f>
        <v>0</v>
      </c>
      <c r="M33" s="558">
        <f>IF((K32&lt;O32),O32-K32,0)</f>
        <v>0</v>
      </c>
      <c r="N33" s="3"/>
      <c r="O33" s="48"/>
      <c r="P33" s="3"/>
      <c r="Q33" s="3"/>
      <c r="R33" s="48"/>
      <c r="S33" s="3"/>
    </row>
    <row r="34" spans="12:19" x14ac:dyDescent="0.25">
      <c r="N34" s="3"/>
      <c r="O34" s="48"/>
      <c r="P34" s="3"/>
      <c r="Q34" s="3"/>
      <c r="R34" s="3"/>
      <c r="S34" s="3"/>
    </row>
    <row r="35" spans="12:19" x14ac:dyDescent="0.25">
      <c r="N35" s="3"/>
      <c r="O35" s="3"/>
      <c r="P35" s="3"/>
      <c r="Q35" s="3"/>
      <c r="R35" s="3"/>
      <c r="S35" s="3"/>
    </row>
  </sheetData>
  <mergeCells count="23">
    <mergeCell ref="A24:C24"/>
    <mergeCell ref="P8:P9"/>
    <mergeCell ref="A4:S5"/>
    <mergeCell ref="F8:F9"/>
    <mergeCell ref="G8:G9"/>
    <mergeCell ref="H8:H9"/>
    <mergeCell ref="S8:S9"/>
    <mergeCell ref="O8:O9"/>
    <mergeCell ref="S6:S7"/>
    <mergeCell ref="J8:J9"/>
    <mergeCell ref="K8:K9"/>
    <mergeCell ref="F6:H6"/>
    <mergeCell ref="Q8:Q9"/>
    <mergeCell ref="I6:J6"/>
    <mergeCell ref="L6:N6"/>
    <mergeCell ref="O6:R6"/>
    <mergeCell ref="R8:R9"/>
    <mergeCell ref="I8:I9"/>
    <mergeCell ref="N8:N9"/>
    <mergeCell ref="F26:G26"/>
    <mergeCell ref="F27:G27"/>
    <mergeCell ref="L8:L9"/>
    <mergeCell ref="M8:M9"/>
  </mergeCells>
  <dataValidations count="1">
    <dataValidation type="list" allowBlank="1" showInputMessage="1" showErrorMessage="1" sqref="D11:D22">
      <formula1>LIV.ENT.</formula1>
    </dataValidation>
  </dataValidations>
  <pageMargins left="0.25" right="0.25" top="0.75" bottom="0.75" header="0.3" footer="0.3"/>
  <pageSetup paperSize="9" scale="75" orientation="landscape" horizontalDpi="30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4:P34"/>
  <sheetViews>
    <sheetView topLeftCell="A10" workbookViewId="0">
      <selection activeCell="N94" sqref="N94"/>
    </sheetView>
  </sheetViews>
  <sheetFormatPr baseColWidth="10" defaultRowHeight="13.8" x14ac:dyDescent="0.25"/>
  <cols>
    <col min="1" max="1" width="7.44140625" customWidth="1"/>
    <col min="2" max="2" width="7.109375" customWidth="1"/>
    <col min="3" max="3" width="12.5546875" customWidth="1"/>
    <col min="4" max="4" width="16.33203125" style="141" customWidth="1"/>
    <col min="5" max="5" width="13.44140625" style="119" customWidth="1"/>
    <col min="6" max="6" width="15.44140625" customWidth="1"/>
    <col min="7" max="7" width="13.6640625" customWidth="1"/>
    <col min="8" max="8" width="13.33203125" customWidth="1"/>
    <col min="9" max="9" width="12.88671875" customWidth="1"/>
    <col min="10" max="11" width="12.33203125" customWidth="1"/>
    <col min="12" max="12" width="10.88671875" customWidth="1"/>
    <col min="13" max="13" width="10" customWidth="1"/>
    <col min="14" max="14" width="12" bestFit="1" customWidth="1"/>
  </cols>
  <sheetData>
    <row r="4" spans="1:16" x14ac:dyDescent="0.25">
      <c r="A4" s="4428" t="s">
        <v>252</v>
      </c>
      <c r="B4" s="4429"/>
      <c r="C4" s="4429"/>
      <c r="D4" s="4429"/>
      <c r="E4" s="4429"/>
      <c r="F4" s="4429"/>
      <c r="G4" s="4429"/>
      <c r="H4" s="4429"/>
      <c r="I4" s="4429"/>
      <c r="J4" s="4429"/>
      <c r="K4" s="4429"/>
      <c r="L4" s="4429"/>
      <c r="M4" s="4429"/>
      <c r="N4" s="4429"/>
      <c r="O4" s="4430"/>
      <c r="P4" s="29"/>
    </row>
    <row r="5" spans="1:16" s="141" customFormat="1" x14ac:dyDescent="0.25">
      <c r="A5" s="4452"/>
      <c r="B5" s="4453"/>
      <c r="C5" s="4453"/>
      <c r="D5" s="4453"/>
      <c r="E5" s="4453"/>
      <c r="F5" s="4453"/>
      <c r="G5" s="4453"/>
      <c r="H5" s="4453"/>
      <c r="I5" s="4453"/>
      <c r="J5" s="4453"/>
      <c r="K5" s="4453"/>
      <c r="L5" s="4453"/>
      <c r="M5" s="4453"/>
      <c r="N5" s="4453"/>
      <c r="O5" s="4454"/>
      <c r="P5" s="29"/>
    </row>
    <row r="6" spans="1:16" x14ac:dyDescent="0.25">
      <c r="A6" s="4431"/>
      <c r="B6" s="4432"/>
      <c r="C6" s="4432"/>
      <c r="D6" s="4432"/>
      <c r="E6" s="4432"/>
      <c r="F6" s="4432"/>
      <c r="G6" s="4432"/>
      <c r="H6" s="4432"/>
      <c r="I6" s="4432"/>
      <c r="J6" s="4432"/>
      <c r="K6" s="4432"/>
      <c r="L6" s="4432"/>
      <c r="M6" s="4432"/>
      <c r="N6" s="4432"/>
      <c r="O6" s="4433"/>
      <c r="P6" s="29"/>
    </row>
    <row r="7" spans="1:16" s="141" customFormat="1" x14ac:dyDescent="0.25">
      <c r="A7" s="563"/>
      <c r="B7" s="564"/>
      <c r="C7" s="564"/>
      <c r="D7" s="564"/>
      <c r="E7" s="564"/>
      <c r="F7" s="564"/>
      <c r="G7" s="564"/>
      <c r="H7" s="564"/>
      <c r="I7" s="564"/>
      <c r="J7" s="564"/>
      <c r="K7" s="564"/>
      <c r="L7" s="564"/>
      <c r="M7" s="564"/>
      <c r="N7" s="564"/>
      <c r="O7" s="565"/>
      <c r="P7" s="29"/>
    </row>
    <row r="8" spans="1:16" s="141" customFormat="1" x14ac:dyDescent="0.25">
      <c r="A8" s="563"/>
      <c r="B8" s="564"/>
      <c r="C8" s="564"/>
      <c r="D8" s="564"/>
      <c r="E8" s="564"/>
      <c r="F8" s="564"/>
      <c r="G8" s="564"/>
      <c r="H8" s="564"/>
      <c r="I8" s="564"/>
      <c r="J8" s="564"/>
      <c r="K8" s="564"/>
      <c r="L8" s="564"/>
      <c r="M8" s="564"/>
      <c r="N8" s="564"/>
      <c r="O8" s="565"/>
      <c r="P8" s="29"/>
    </row>
    <row r="9" spans="1:16" ht="22.5" customHeight="1" x14ac:dyDescent="0.25">
      <c r="A9" s="85" t="s">
        <v>20</v>
      </c>
      <c r="B9" s="85" t="s">
        <v>21</v>
      </c>
      <c r="C9" s="86" t="s">
        <v>0</v>
      </c>
      <c r="D9" s="567"/>
      <c r="E9" s="113" t="s">
        <v>7</v>
      </c>
      <c r="F9" s="4449" t="s">
        <v>265</v>
      </c>
      <c r="G9" s="4450"/>
      <c r="H9" s="4450"/>
      <c r="I9" s="4450"/>
      <c r="J9" s="4450"/>
      <c r="K9" s="4451"/>
      <c r="L9" s="4459" t="s">
        <v>30</v>
      </c>
      <c r="M9" s="4449"/>
      <c r="N9" s="4459" t="s">
        <v>31</v>
      </c>
      <c r="O9" s="4459"/>
      <c r="P9" s="2"/>
    </row>
    <row r="10" spans="1:16" ht="78" x14ac:dyDescent="0.3">
      <c r="A10" s="87"/>
      <c r="B10" s="87"/>
      <c r="C10" s="87"/>
      <c r="D10" s="87"/>
      <c r="E10" s="115" t="s">
        <v>3</v>
      </c>
      <c r="F10" s="88">
        <v>0.06</v>
      </c>
      <c r="G10" s="88">
        <v>0.12</v>
      </c>
      <c r="H10" s="88">
        <v>0.21</v>
      </c>
      <c r="I10" s="83" t="s">
        <v>264</v>
      </c>
      <c r="J10" s="83" t="s">
        <v>28</v>
      </c>
      <c r="K10" s="83" t="s">
        <v>253</v>
      </c>
      <c r="L10" s="83" t="s">
        <v>28</v>
      </c>
      <c r="M10" s="84" t="s">
        <v>29</v>
      </c>
      <c r="N10" s="83" t="s">
        <v>254</v>
      </c>
      <c r="O10" s="83" t="s">
        <v>255</v>
      </c>
      <c r="P10" s="26"/>
    </row>
    <row r="11" spans="1:16" x14ac:dyDescent="0.25">
      <c r="A11" s="10"/>
      <c r="B11" s="10"/>
      <c r="C11" s="10"/>
      <c r="D11" s="10"/>
      <c r="E11" s="116"/>
      <c r="F11" s="4462" t="s">
        <v>32</v>
      </c>
      <c r="G11" s="4462" t="s">
        <v>33</v>
      </c>
      <c r="H11" s="4462" t="s">
        <v>34</v>
      </c>
      <c r="I11" s="4460">
        <v>45</v>
      </c>
      <c r="J11" s="4461">
        <v>46</v>
      </c>
      <c r="K11" s="4461">
        <v>47</v>
      </c>
      <c r="L11" s="4463">
        <v>48</v>
      </c>
      <c r="M11" s="4464">
        <v>49</v>
      </c>
      <c r="N11" s="4462">
        <v>54</v>
      </c>
      <c r="O11" s="4455">
        <v>64</v>
      </c>
      <c r="P11" s="26"/>
    </row>
    <row r="12" spans="1:16" ht="14.4" thickBot="1" x14ac:dyDescent="0.3">
      <c r="A12" s="11"/>
      <c r="B12" s="11"/>
      <c r="C12" s="11"/>
      <c r="D12" s="11"/>
      <c r="E12" s="117"/>
      <c r="F12" s="4462"/>
      <c r="G12" s="4462"/>
      <c r="H12" s="4462"/>
      <c r="I12" s="4460"/>
      <c r="J12" s="4461"/>
      <c r="K12" s="4461"/>
      <c r="L12" s="4463"/>
      <c r="M12" s="4464"/>
      <c r="N12" s="4462"/>
      <c r="O12" s="4455"/>
      <c r="P12" s="2"/>
    </row>
    <row r="13" spans="1:16" ht="14.4" thickBot="1" x14ac:dyDescent="0.3">
      <c r="A13" s="21">
        <v>11</v>
      </c>
      <c r="B13" s="72"/>
      <c r="C13" s="72" t="s">
        <v>231</v>
      </c>
      <c r="D13" s="12" t="s">
        <v>2047</v>
      </c>
      <c r="E13" s="94">
        <f>IF((D13&lt;&gt;"note de crédit"),'Val-Dép'!Y13,'Val-Dép'!X13*-1)</f>
        <v>0</v>
      </c>
      <c r="F13" s="568">
        <f>IF('Val-Dép'!Q13=$F$10,'Val-Dép'!P13,0)</f>
        <v>0</v>
      </c>
      <c r="G13" s="568">
        <f>IF('Val-Dép'!Q13=$G$10,'Val-Dép'!P13,0)</f>
        <v>0</v>
      </c>
      <c r="H13" s="568">
        <f>IF(AND('Val-Dép'!Q13=$H$10,'Val-Dép'!I13&lt;&gt;"note de crédit"), 'Val-Dép'!P13,0)</f>
        <v>0</v>
      </c>
      <c r="I13" s="42">
        <f>IF('Val-Dép'!G13="cocontractant",'Val-Dép'!P13,0)</f>
        <v>0</v>
      </c>
      <c r="J13" s="42">
        <f>IF('Val-Dép'!G13="Intracomm.",'Val-Dép'!P13,0)</f>
        <v>0</v>
      </c>
      <c r="K13" s="42">
        <f>IF('Val-Dép'!G13="export.",'Val-Dép'!P13,0)</f>
        <v>0</v>
      </c>
      <c r="L13" s="12"/>
      <c r="M13" s="42">
        <f>IF('Val-Dép'!G13="note de crédit",'Val-Dép'!P13,0)</f>
        <v>0</v>
      </c>
      <c r="N13" s="42">
        <f>IF('Val-Dép'!G13="Marchand-amball",'Val-Dép'!W13,0)</f>
        <v>0</v>
      </c>
      <c r="O13" s="42">
        <f>IF('Val-Dép'!G13="note de crédit",'Val-Dép'!T13,0)</f>
        <v>0</v>
      </c>
      <c r="P13" s="2"/>
    </row>
    <row r="14" spans="1:16" ht="14.4" thickBot="1" x14ac:dyDescent="0.3">
      <c r="A14" s="22">
        <v>12</v>
      </c>
      <c r="B14" s="13"/>
      <c r="C14" s="13" t="s">
        <v>232</v>
      </c>
      <c r="D14" s="12" t="s">
        <v>2047</v>
      </c>
      <c r="E14" s="94">
        <f>IF((D14&lt;&gt;"note de crédit"),'Val-Dép'!Y14,'Val-Dép'!X14*-1)</f>
        <v>0</v>
      </c>
      <c r="F14" s="568">
        <f>IF('Val-Dép'!Q14=$F$10,'Val-Dép'!P14,0)</f>
        <v>0</v>
      </c>
      <c r="G14" s="568">
        <f>IF('Val-Dép'!Q14=$G$10,'Val-Dép'!P14,0)</f>
        <v>0</v>
      </c>
      <c r="H14" s="568">
        <f>IF(AND('Val-Dép'!Q14=$H$10,'Val-Dép'!I14&lt;&gt;"note de crédit"), 'Val-Dép'!P14,0)</f>
        <v>0</v>
      </c>
      <c r="I14" s="42">
        <f>IF('Val-Dép'!G14="cocontractant",'Val-Dép'!P14,0)</f>
        <v>0</v>
      </c>
      <c r="J14" s="42">
        <f>IF('Val-Dép'!G14="Intracomm.",'Val-Dép'!P14,0)</f>
        <v>0</v>
      </c>
      <c r="K14" s="42">
        <f>IF('Val-Dép'!G14="export.",'Val-Dép'!P14,0)</f>
        <v>0</v>
      </c>
      <c r="L14" s="13"/>
      <c r="M14" s="42">
        <f>IF('Val-Dép'!G14="note de crédit",'Val-Dép'!P14,0)</f>
        <v>0</v>
      </c>
      <c r="N14" s="42">
        <f>IF('Val-Dép'!G14="Marchand-amball",'Val-Dép'!W14,0)</f>
        <v>0</v>
      </c>
      <c r="O14" s="42">
        <f>IF('Val-Dép'!G14="note de crédit",'Val-Dép'!T14,0)</f>
        <v>0</v>
      </c>
      <c r="P14" s="2"/>
    </row>
    <row r="15" spans="1:16" ht="14.4" thickBot="1" x14ac:dyDescent="0.3">
      <c r="A15" s="22">
        <v>13</v>
      </c>
      <c r="B15" s="13"/>
      <c r="C15" s="13" t="s">
        <v>233</v>
      </c>
      <c r="D15" s="12" t="s">
        <v>294</v>
      </c>
      <c r="E15" s="94">
        <f>IF((D15&lt;&gt;"note de crédit"),'Val-Dép'!Y15,'Val-Dép'!X15*-1)</f>
        <v>0</v>
      </c>
      <c r="F15" s="568">
        <f>IF('Val-Dép'!Q15=$F$10,'Val-Dép'!P15,0)</f>
        <v>0</v>
      </c>
      <c r="G15" s="568">
        <f>IF('Val-Dép'!Q15=$G$10,'Val-Dép'!P15,0)</f>
        <v>0</v>
      </c>
      <c r="H15" s="568">
        <f>IF(AND('Val-Dép'!Q15=$H$10,'Val-Dép'!I15&lt;&gt;"note de crédit"), 'Val-Dép'!P15,0)</f>
        <v>0</v>
      </c>
      <c r="I15" s="42">
        <f>IF('Val-Dép'!G15="cocontractant",'Val-Dép'!P15,0)</f>
        <v>0</v>
      </c>
      <c r="J15" s="42">
        <f>IF('Val-Dép'!G15="Intracomm.",'Val-Dép'!P15,0)</f>
        <v>0</v>
      </c>
      <c r="K15" s="42">
        <f>IF('Val-Dép'!G15="export.",'Val-Dép'!P15,0)</f>
        <v>0</v>
      </c>
      <c r="L15" s="13"/>
      <c r="M15" s="42">
        <f>IF('Val-Dép'!G15="note de crédit",'Val-Dép'!P15,0)</f>
        <v>0</v>
      </c>
      <c r="N15" s="42">
        <f>IF('Val-Dép'!G15="Marchand-amball",'Val-Dép'!W15,0)</f>
        <v>0</v>
      </c>
      <c r="O15" s="42">
        <f>IF('Val-Dép'!G15="note de crédit",'Val-Dép'!T15,0)</f>
        <v>0</v>
      </c>
      <c r="P15" s="2"/>
    </row>
    <row r="16" spans="1:16" ht="14.4" thickBot="1" x14ac:dyDescent="0.3">
      <c r="A16" s="22">
        <v>14</v>
      </c>
      <c r="B16" s="13"/>
      <c r="C16" s="13" t="s">
        <v>231</v>
      </c>
      <c r="D16" s="12" t="s">
        <v>4</v>
      </c>
      <c r="E16" s="94" t="e">
        <f>IF((D16&lt;&gt;"note de crédit"),'Val-Dép'!Y16,'Val-Dép'!X16*-1)</f>
        <v>#VALUE!</v>
      </c>
      <c r="F16" s="568">
        <f>IF('Val-Dép'!Q16=$F$10,'Val-Dép'!P16,0)</f>
        <v>0</v>
      </c>
      <c r="G16" s="568">
        <f>IF('Val-Dép'!Q16=$G$10,'Val-Dép'!P16,0)</f>
        <v>0</v>
      </c>
      <c r="H16" s="568">
        <f>IF(AND('Val-Dép'!Q16=$H$10,'Val-Dép'!I16&lt;&gt;"note de crédit"), 'Val-Dép'!P16,0)</f>
        <v>0</v>
      </c>
      <c r="I16" s="42">
        <f>IF('Val-Dép'!G16="cocontractant",'Val-Dép'!P16,0)</f>
        <v>0</v>
      </c>
      <c r="J16" s="42">
        <f>IF('Val-Dép'!G16="Intracomm.",'Val-Dép'!P16,0)</f>
        <v>0</v>
      </c>
      <c r="K16" s="42">
        <f>IF('Val-Dép'!G16="export.",'Val-Dép'!P16,0)</f>
        <v>0</v>
      </c>
      <c r="L16" s="13"/>
      <c r="M16" s="42">
        <f>IF('Val-Dép'!G16="note de crédit",'Val-Dép'!P16,0)</f>
        <v>0</v>
      </c>
      <c r="N16" s="42">
        <f>IF('Val-Dép'!G16="Marchand-amball",'Val-Dép'!W16,0)</f>
        <v>0</v>
      </c>
      <c r="O16" s="42">
        <f>IF('Val-Dép'!G16="note de crédit",'Val-Dép'!T16,0)</f>
        <v>0</v>
      </c>
      <c r="P16" s="2"/>
    </row>
    <row r="17" spans="1:16" ht="14.4" thickBot="1" x14ac:dyDescent="0.3">
      <c r="A17" s="22">
        <v>15</v>
      </c>
      <c r="B17" s="13"/>
      <c r="C17" s="13" t="s">
        <v>234</v>
      </c>
      <c r="D17" s="12" t="s">
        <v>250</v>
      </c>
      <c r="E17" s="94">
        <f>IF((D17&lt;&gt;"note de crédit"),'Val-Dép'!Y17,'Val-Dép'!X17*-1)</f>
        <v>0</v>
      </c>
      <c r="F17" s="568">
        <f>IF('Val-Dép'!Q17=$F$10,'Val-Dép'!P17,0)</f>
        <v>0</v>
      </c>
      <c r="G17" s="568">
        <f>IF('Val-Dép'!Q17=$G$10,'Val-Dép'!P17,0)</f>
        <v>0</v>
      </c>
      <c r="H17" s="568">
        <f>IF(AND('Val-Dép'!Q17=$H$10,'Val-Dép'!I17&lt;&gt;"note de crédit"), 'Val-Dép'!P17,0)</f>
        <v>0</v>
      </c>
      <c r="I17" s="42">
        <f>IF('Val-Dép'!G17="cocontractant",'Val-Dép'!P17,0)</f>
        <v>0</v>
      </c>
      <c r="J17" s="42">
        <f>IF('Val-Dép'!G17="Intracomm.",'Val-Dép'!P17,0)</f>
        <v>0</v>
      </c>
      <c r="K17" s="42">
        <f>IF('Val-Dép'!G17="export.",'Val-Dép'!P17,0)</f>
        <v>0</v>
      </c>
      <c r="L17" s="13"/>
      <c r="M17" s="42">
        <f>IF('Val-Dép'!G17="note de crédit",'Val-Dép'!P17,0)</f>
        <v>0</v>
      </c>
      <c r="N17" s="42">
        <f>IF('Val-Dép'!G17="Marchand-amball",'Val-Dép'!W17,0)</f>
        <v>0</v>
      </c>
      <c r="O17" s="42">
        <f>IF('Val-Dép'!G17="note de crédit",'Val-Dép'!T17,0)</f>
        <v>0</v>
      </c>
      <c r="P17" s="2"/>
    </row>
    <row r="18" spans="1:16" ht="14.4" thickBot="1" x14ac:dyDescent="0.3">
      <c r="A18" s="22">
        <v>16</v>
      </c>
      <c r="B18" s="24"/>
      <c r="C18" s="13" t="s">
        <v>236</v>
      </c>
      <c r="D18" s="12" t="s">
        <v>2047</v>
      </c>
      <c r="E18" s="94">
        <f>IF((D18&lt;&gt;"note de crédit"),'Val-Dép'!Y18,'Val-Dép'!X18*-1)</f>
        <v>0</v>
      </c>
      <c r="F18" s="568">
        <f>IF('Val-Dép'!Q18=$F$10,'Val-Dép'!P18,0)</f>
        <v>0</v>
      </c>
      <c r="G18" s="568">
        <f>IF('Val-Dép'!Q18=$G$10,'Val-Dép'!P18,0)</f>
        <v>0</v>
      </c>
      <c r="H18" s="568">
        <f>IF(AND('Val-Dép'!Q18=$H$10,'Val-Dép'!I18&lt;&gt;"note de crédit"), 'Val-Dép'!P18,0)</f>
        <v>0</v>
      </c>
      <c r="I18" s="42">
        <f>IF('Val-Dép'!G18="cocontractant",'Val-Dép'!P18,0)</f>
        <v>0</v>
      </c>
      <c r="J18" s="42">
        <f>IF('Val-Dép'!G18="Intracomm.",'Val-Dép'!P18,0)</f>
        <v>0</v>
      </c>
      <c r="K18" s="42">
        <f>IF('Val-Dép'!G18="export.",'Val-Dép'!P18,0)</f>
        <v>0</v>
      </c>
      <c r="L18" s="13"/>
      <c r="M18" s="42">
        <f>IF('Val-Dép'!G18="note de crédit",'Val-Dép'!P18,0)</f>
        <v>0</v>
      </c>
      <c r="N18" s="42">
        <f>IF('Val-Dép'!G18="Marchand-amball",'Val-Dép'!W18,0)</f>
        <v>0</v>
      </c>
      <c r="O18" s="42">
        <f>IF('Val-Dép'!G18="note de crédit",'Val-Dép'!T18,0)</f>
        <v>0</v>
      </c>
      <c r="P18" s="2"/>
    </row>
    <row r="19" spans="1:16" ht="14.4" thickBot="1" x14ac:dyDescent="0.3">
      <c r="A19" s="97">
        <v>17</v>
      </c>
      <c r="B19" s="23">
        <v>42010</v>
      </c>
      <c r="C19" s="12" t="s">
        <v>231</v>
      </c>
      <c r="D19" s="12" t="s">
        <v>2047</v>
      </c>
      <c r="E19" s="94">
        <f>IF((D19&lt;&gt;"note de crédit"),'Val-Dép'!Y19,'Val-Dép'!X19*-1)</f>
        <v>0</v>
      </c>
      <c r="F19" s="568">
        <f>IF('Val-Dép'!Q19=$F$10,'Val-Dép'!P19,0)</f>
        <v>0</v>
      </c>
      <c r="G19" s="568">
        <f>IF('Val-Dép'!Q19=$G$10,'Val-Dép'!P19,0)</f>
        <v>0</v>
      </c>
      <c r="H19" s="568">
        <f>IF(AND('Val-Dép'!Q19=$H$10,'Val-Dép'!I19&lt;&gt;"note de crédit"), 'Val-Dép'!P19,0)</f>
        <v>0</v>
      </c>
      <c r="I19" s="42">
        <f>IF('Val-Dép'!G19="cocontractant",'Val-Dép'!P19,0)</f>
        <v>0</v>
      </c>
      <c r="J19" s="42">
        <f>IF('Val-Dép'!G19="Intracomm.",'Val-Dép'!P19,0)</f>
        <v>0</v>
      </c>
      <c r="K19" s="42">
        <f>IF('Val-Dép'!G19="export.",'Val-Dép'!P19,0)</f>
        <v>0</v>
      </c>
      <c r="L19" s="13"/>
      <c r="M19" s="42">
        <f>IF('Val-Dép'!G19="note de crédit",'Val-Dép'!P19,0)</f>
        <v>0</v>
      </c>
      <c r="N19" s="42">
        <f>IF('Val-Dép'!G19="Marchand-amball",'Val-Dép'!W19,0)</f>
        <v>0</v>
      </c>
      <c r="O19" s="42">
        <f>IF('Val-Dép'!G19="note de crédit",'Val-Dép'!T19,0)</f>
        <v>0</v>
      </c>
      <c r="P19" s="2"/>
    </row>
    <row r="20" spans="1:16" ht="14.4" thickBot="1" x14ac:dyDescent="0.3">
      <c r="A20" s="22">
        <v>18</v>
      </c>
      <c r="B20" s="24"/>
      <c r="C20" s="13" t="s">
        <v>232</v>
      </c>
      <c r="D20" s="12" t="s">
        <v>2047</v>
      </c>
      <c r="E20" s="94">
        <f>IF((D20&lt;&gt;"note de crédit"),'Val-Dép'!Y20,'Val-Dép'!X20*-1)</f>
        <v>0</v>
      </c>
      <c r="F20" s="568">
        <f>IF('Val-Dép'!Q20=$F$10,'Val-Dép'!P20,0)</f>
        <v>0</v>
      </c>
      <c r="G20" s="568">
        <f>IF('Val-Dép'!Q20=$G$10,'Val-Dép'!P20,0)</f>
        <v>0</v>
      </c>
      <c r="H20" s="568">
        <f>IF(AND('Val-Dép'!Q20=$H$10,'Val-Dép'!I20&lt;&gt;"note de crédit"), 'Val-Dép'!P20,0)</f>
        <v>0</v>
      </c>
      <c r="I20" s="42">
        <f>IF('Val-Dép'!G20="cocontractant",'Val-Dép'!P20,0)</f>
        <v>0</v>
      </c>
      <c r="J20" s="42">
        <f>IF('Val-Dép'!G20="Intracomm.",'Val-Dép'!P20,0)</f>
        <v>0</v>
      </c>
      <c r="K20" s="42">
        <f>IF('Val-Dép'!G20="export.",'Val-Dép'!P20,0)</f>
        <v>0</v>
      </c>
      <c r="L20" s="13"/>
      <c r="M20" s="42">
        <f>IF('Val-Dép'!G20="note de crédit",'Val-Dép'!P20,0)</f>
        <v>0</v>
      </c>
      <c r="N20" s="42">
        <f>IF('Val-Dép'!G20="Marchand-amball",'Val-Dép'!W20,0)</f>
        <v>0</v>
      </c>
      <c r="O20" s="42">
        <f>IF('Val-Dép'!G20="note de crédit",'Val-Dép'!T20,0)</f>
        <v>0</v>
      </c>
      <c r="P20" s="2"/>
    </row>
    <row r="21" spans="1:16" ht="14.4" thickBot="1" x14ac:dyDescent="0.3">
      <c r="A21" s="22">
        <v>19</v>
      </c>
      <c r="B21" s="24"/>
      <c r="C21" s="13" t="s">
        <v>237</v>
      </c>
      <c r="D21" s="12" t="s">
        <v>294</v>
      </c>
      <c r="E21" s="94">
        <f>IF((D21&lt;&gt;"note de crédit"),'Val-Dép'!Y21,'Val-Dép'!X21*-1)</f>
        <v>0</v>
      </c>
      <c r="F21" s="568">
        <f>IF('Val-Dép'!Q21=$F$10,'Val-Dép'!P21,0)</f>
        <v>0</v>
      </c>
      <c r="G21" s="568">
        <f>IF('Val-Dép'!Q21=$G$10,'Val-Dép'!P21,0)</f>
        <v>0</v>
      </c>
      <c r="H21" s="568">
        <f>IF(AND('Val-Dép'!Q21=$H$10,'Val-Dép'!I21&lt;&gt;"note de crédit"), 'Val-Dép'!P21,0)</f>
        <v>0</v>
      </c>
      <c r="I21" s="42">
        <f>IF('Val-Dép'!G21="cocontractant",'Val-Dép'!P21,0)</f>
        <v>0</v>
      </c>
      <c r="J21" s="42">
        <f>IF('Val-Dép'!G21="Intracomm.",'Val-Dép'!P21,0)</f>
        <v>0</v>
      </c>
      <c r="K21" s="42">
        <f>IF('Val-Dép'!G21="export.",'Val-Dép'!P21,0)</f>
        <v>0</v>
      </c>
      <c r="L21" s="13"/>
      <c r="M21" s="42">
        <f>IF('Val-Dép'!G21="note de crédit",'Val-Dép'!P21,0)</f>
        <v>0</v>
      </c>
      <c r="N21" s="42">
        <f>IF('Val-Dép'!G21="Marchand-amball",'Val-Dép'!W21,0)</f>
        <v>0</v>
      </c>
      <c r="O21" s="42">
        <f>IF('Val-Dép'!G21="note de crédit",'Val-Dép'!T21,0)</f>
        <v>0</v>
      </c>
      <c r="P21" s="2"/>
    </row>
    <row r="22" spans="1:16" ht="14.4" thickBot="1" x14ac:dyDescent="0.3">
      <c r="A22" s="22">
        <v>20</v>
      </c>
      <c r="B22" s="24"/>
      <c r="C22" s="13" t="s">
        <v>238</v>
      </c>
      <c r="D22" s="12" t="s">
        <v>2068</v>
      </c>
      <c r="E22" s="94">
        <f>IF((D22&lt;&gt;"note de crédit"),'Val-Dép'!Y22,'Val-Dép'!X22*-1)</f>
        <v>0</v>
      </c>
      <c r="F22" s="568">
        <f>IF('Val-Dép'!Q22=$F$10,'Val-Dép'!P22,0)</f>
        <v>0</v>
      </c>
      <c r="G22" s="568">
        <f>IF('Val-Dép'!Q22=$G$10,'Val-Dép'!P22,0)</f>
        <v>0</v>
      </c>
      <c r="H22" s="568">
        <f>IF(AND('Val-Dép'!Q22=$H$10,'Val-Dép'!I22&lt;&gt;"note de crédit"), 'Val-Dép'!P22,0)</f>
        <v>0</v>
      </c>
      <c r="I22" s="13"/>
      <c r="J22" s="42">
        <f>IF('Val-Dép'!G22="Intracomm.",'Val-Dép'!P22,0)</f>
        <v>0</v>
      </c>
      <c r="K22" s="42">
        <f>IF('Val-Dép'!G22="export.",'Val-Dép'!P22,0)</f>
        <v>0</v>
      </c>
      <c r="L22" s="13"/>
      <c r="M22" s="42">
        <f>IF('Val-Dép'!G22="note de crédit",'Val-Dép'!P22,0)</f>
        <v>0</v>
      </c>
      <c r="N22" s="42">
        <f>IF('Val-Dép'!G22="Marchand-amball",'Val-Dép'!W22,0)</f>
        <v>0</v>
      </c>
      <c r="O22" s="42">
        <f>IF('Val-Dép'!G22="note de crédit",'Val-Dép'!T22,0)</f>
        <v>0</v>
      </c>
      <c r="P22" s="2"/>
    </row>
    <row r="23" spans="1:16" x14ac:dyDescent="0.25">
      <c r="A23" s="22">
        <v>21</v>
      </c>
      <c r="B23" s="24"/>
      <c r="C23" s="13" t="s">
        <v>232</v>
      </c>
      <c r="D23" s="12" t="s">
        <v>2047</v>
      </c>
      <c r="E23" s="94">
        <f>IF((D23&lt;&gt;"note de crédit"),'Val-Dép'!Y23,'Val-Dép'!X23*-1)</f>
        <v>0</v>
      </c>
      <c r="F23" s="568">
        <f>IF('Val-Dép'!Q23=$F$10,'Val-Dép'!P23,0)</f>
        <v>0</v>
      </c>
      <c r="G23" s="568">
        <f>IF('Val-Dép'!Q23=$G$10,'Val-Dép'!P23,0)</f>
        <v>0</v>
      </c>
      <c r="H23" s="568">
        <f>IF(AND('Val-Dép'!Q23=$H$10,'Val-Dép'!I23&lt;&gt;"note de crédit"), 'Val-Dép'!P23,0)</f>
        <v>0</v>
      </c>
      <c r="I23" s="13"/>
      <c r="J23" s="42">
        <f>IF('Val-Dép'!G23="Intracomm.",'Val-Dép'!P23,0)</f>
        <v>0</v>
      </c>
      <c r="K23" s="42">
        <f>IF('Val-Dép'!G23="export.",'Val-Dép'!P23,0)</f>
        <v>0</v>
      </c>
      <c r="L23" s="13"/>
      <c r="M23" s="42">
        <f>IF('Val-Dép'!G23="note de crédit",'Val-Dép'!P23,0)</f>
        <v>0</v>
      </c>
      <c r="N23" s="42">
        <f>IF('Val-Dép'!G23="Marchand-amball",'Val-Dép'!W23,0)</f>
        <v>0</v>
      </c>
      <c r="O23" s="42">
        <f>IF('Val-Dép'!G23="note de crédit",'Val-Dép'!T23,0)</f>
        <v>0</v>
      </c>
      <c r="P23" s="2"/>
    </row>
    <row r="24" spans="1:16" x14ac:dyDescent="0.25">
      <c r="A24" s="22">
        <v>12</v>
      </c>
      <c r="B24" s="24"/>
      <c r="C24" s="13"/>
      <c r="D24" s="13"/>
      <c r="E24" s="118"/>
      <c r="F24" s="43"/>
      <c r="G24" s="43"/>
      <c r="H24" s="43"/>
      <c r="I24" s="13"/>
      <c r="J24" s="13"/>
      <c r="K24" s="13"/>
      <c r="L24" s="13"/>
      <c r="M24" s="27"/>
      <c r="N24" s="43"/>
      <c r="O24" s="13"/>
      <c r="P24" s="2"/>
    </row>
    <row r="25" spans="1:16" x14ac:dyDescent="0.25">
      <c r="A25" s="22">
        <v>13</v>
      </c>
      <c r="B25" s="24"/>
      <c r="C25" s="13"/>
      <c r="D25" s="13"/>
      <c r="E25" s="118"/>
      <c r="F25" s="43"/>
      <c r="G25" s="43"/>
      <c r="H25" s="43"/>
      <c r="I25" s="13"/>
      <c r="J25" s="13"/>
      <c r="K25" s="13"/>
      <c r="L25" s="13"/>
      <c r="M25" s="27"/>
      <c r="N25" s="13"/>
      <c r="O25" s="13"/>
      <c r="P25" s="2"/>
    </row>
    <row r="26" spans="1:16" x14ac:dyDescent="0.25">
      <c r="A26" s="22">
        <v>14</v>
      </c>
      <c r="B26" s="24"/>
      <c r="C26" s="13"/>
      <c r="D26" s="13"/>
      <c r="E26" s="118"/>
      <c r="F26" s="43"/>
      <c r="G26" s="43"/>
      <c r="H26" s="43"/>
      <c r="I26" s="13"/>
      <c r="J26" s="13"/>
      <c r="K26" s="13"/>
      <c r="L26" s="13"/>
      <c r="M26" s="27"/>
      <c r="N26" s="13"/>
      <c r="O26" s="13"/>
      <c r="P26" s="2"/>
    </row>
    <row r="27" spans="1:16" x14ac:dyDescent="0.25">
      <c r="A27" s="22">
        <v>15</v>
      </c>
      <c r="B27" s="24"/>
      <c r="C27" s="13"/>
      <c r="D27" s="13"/>
      <c r="E27" s="118"/>
      <c r="F27" s="43"/>
      <c r="G27" s="43"/>
      <c r="H27" s="43"/>
      <c r="I27" s="13"/>
      <c r="J27" s="13"/>
      <c r="K27" s="13"/>
      <c r="L27" s="13"/>
      <c r="M27" s="27"/>
      <c r="N27" s="13"/>
      <c r="O27" s="13"/>
      <c r="P27" s="2"/>
    </row>
    <row r="28" spans="1:16" x14ac:dyDescent="0.25">
      <c r="A28" s="15">
        <v>16</v>
      </c>
      <c r="B28" s="31"/>
      <c r="C28" s="14"/>
      <c r="D28" s="14"/>
      <c r="E28" s="121"/>
      <c r="F28" s="73"/>
      <c r="G28" s="73"/>
      <c r="H28" s="73"/>
      <c r="I28" s="14"/>
      <c r="J28" s="14"/>
      <c r="K28" s="14"/>
      <c r="L28" s="14"/>
      <c r="M28" s="32"/>
      <c r="N28" s="14"/>
      <c r="O28" s="14"/>
      <c r="P28" s="2"/>
    </row>
    <row r="29" spans="1:16" s="78" customFormat="1" ht="13.2" x14ac:dyDescent="0.25">
      <c r="A29" s="74"/>
      <c r="B29" s="74"/>
      <c r="C29" s="75" t="s">
        <v>11</v>
      </c>
      <c r="D29" s="75"/>
      <c r="E29" s="124" t="e">
        <f>SUM(E13:E28)</f>
        <v>#VALUE!</v>
      </c>
      <c r="F29" s="76">
        <f>SUM(F13:F28)</f>
        <v>0</v>
      </c>
      <c r="G29" s="74"/>
      <c r="H29" s="76">
        <f t="shared" ref="H29:O29" si="0">SUM(H13:H28)</f>
        <v>0</v>
      </c>
      <c r="I29" s="74">
        <f t="shared" si="0"/>
        <v>0</v>
      </c>
      <c r="J29" s="76">
        <f t="shared" si="0"/>
        <v>0</v>
      </c>
      <c r="K29" s="76">
        <f t="shared" si="0"/>
        <v>0</v>
      </c>
      <c r="L29" s="76">
        <f t="shared" si="0"/>
        <v>0</v>
      </c>
      <c r="M29" s="76">
        <f t="shared" si="0"/>
        <v>0</v>
      </c>
      <c r="N29" s="98">
        <f t="shared" si="0"/>
        <v>0</v>
      </c>
      <c r="O29" s="98">
        <f t="shared" si="0"/>
        <v>0</v>
      </c>
      <c r="P29" s="77"/>
    </row>
    <row r="30" spans="1:16" ht="15.6" x14ac:dyDescent="0.3">
      <c r="A30" s="4456" t="s">
        <v>25</v>
      </c>
      <c r="B30" s="4457"/>
      <c r="C30" s="4458"/>
      <c r="D30" s="566"/>
      <c r="E30" s="33" t="s">
        <v>26</v>
      </c>
      <c r="F30" s="33" t="s">
        <v>324</v>
      </c>
      <c r="G30" s="33" t="s">
        <v>325</v>
      </c>
      <c r="H30" s="33" t="s">
        <v>326</v>
      </c>
      <c r="I30" s="34" t="s">
        <v>327</v>
      </c>
      <c r="J30" s="34" t="s">
        <v>328</v>
      </c>
      <c r="K30" s="34" t="s">
        <v>329</v>
      </c>
      <c r="L30" s="33" t="s">
        <v>330</v>
      </c>
      <c r="M30" s="133" t="s">
        <v>331</v>
      </c>
      <c r="N30" s="33" t="s">
        <v>332</v>
      </c>
      <c r="O30" s="33" t="s">
        <v>333</v>
      </c>
      <c r="P30" s="30"/>
    </row>
    <row r="31" spans="1:16" x14ac:dyDescent="0.25">
      <c r="O31" s="1"/>
      <c r="P31" s="3"/>
    </row>
    <row r="32" spans="1:16" x14ac:dyDescent="0.25">
      <c r="F32" s="131"/>
      <c r="G32" s="114">
        <f>SUM(F29,G29,H29,I29,J29,K29,N29)</f>
        <v>0</v>
      </c>
    </row>
    <row r="33" spans="5:15" ht="14.4" thickBot="1" x14ac:dyDescent="0.3">
      <c r="E33" s="120"/>
      <c r="F33" s="122" t="s">
        <v>308</v>
      </c>
      <c r="G33" s="122">
        <f>SUM(L29,M29,O29)</f>
        <v>0</v>
      </c>
      <c r="O33" s="144"/>
    </row>
    <row r="34" spans="5:15" ht="14.4" thickTop="1" x14ac:dyDescent="0.25">
      <c r="F34" t="s">
        <v>309</v>
      </c>
      <c r="G34" s="123">
        <f>SUM(G32,-G33)</f>
        <v>0</v>
      </c>
    </row>
  </sheetData>
  <mergeCells count="15">
    <mergeCell ref="F9:K9"/>
    <mergeCell ref="A4:O6"/>
    <mergeCell ref="O11:O12"/>
    <mergeCell ref="A30:C30"/>
    <mergeCell ref="L9:M9"/>
    <mergeCell ref="N9:O9"/>
    <mergeCell ref="I11:I12"/>
    <mergeCell ref="J11:J12"/>
    <mergeCell ref="F11:F12"/>
    <mergeCell ref="G11:G12"/>
    <mergeCell ref="H11:H12"/>
    <mergeCell ref="K11:K12"/>
    <mergeCell ref="L11:L12"/>
    <mergeCell ref="M11:M12"/>
    <mergeCell ref="N11:N12"/>
  </mergeCells>
  <dataValidations count="1">
    <dataValidation type="list" allowBlank="1" showInputMessage="1" showErrorMessage="1" sqref="D13:D23">
      <formula1>LIV.ENT.</formula1>
    </dataValidation>
  </dataValidations>
  <pageMargins left="0.25" right="0.25" top="0.75" bottom="0.75" header="0.3" footer="0.3"/>
  <pageSetup paperSize="9" scale="80" orientation="landscape" horizontalDpi="30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P129"/>
  <sheetViews>
    <sheetView zoomScale="85" zoomScaleNormal="85" workbookViewId="0">
      <selection activeCell="N94" sqref="N94"/>
    </sheetView>
  </sheetViews>
  <sheetFormatPr baseColWidth="10" defaultColWidth="11.5546875" defaultRowHeight="20.399999999999999" x14ac:dyDescent="0.35"/>
  <cols>
    <col min="1" max="1" width="3.44140625" style="1869" customWidth="1"/>
    <col min="2" max="2" width="4.88671875" style="1943" customWidth="1"/>
    <col min="3" max="6" width="11.5546875" style="1869"/>
    <col min="7" max="7" width="7.6640625" style="1869" customWidth="1"/>
    <col min="8" max="8" width="8.5546875" style="1869" customWidth="1"/>
    <col min="9" max="9" width="11.44140625" style="1944"/>
    <col min="10" max="13" width="11.5546875" style="1869"/>
    <col min="14" max="14" width="6.33203125" style="1945" customWidth="1"/>
    <col min="15" max="15" width="11.5546875" style="1869"/>
    <col min="16" max="16" width="11.44140625" style="1873" customWidth="1"/>
    <col min="17" max="16384" width="11.5546875" style="1869"/>
  </cols>
  <sheetData>
    <row r="1" spans="1:16" ht="18.600000000000001" customHeight="1" x14ac:dyDescent="0.3">
      <c r="A1" s="4475" t="s">
        <v>74</v>
      </c>
      <c r="B1" s="1866"/>
      <c r="C1" s="1867"/>
      <c r="D1" s="1867"/>
      <c r="E1" s="1867"/>
      <c r="F1" s="1867"/>
      <c r="G1" s="1867"/>
      <c r="H1" s="1867"/>
      <c r="I1" s="4487" t="s">
        <v>42</v>
      </c>
      <c r="J1" s="4487"/>
      <c r="K1" s="4487"/>
      <c r="L1" s="4487"/>
      <c r="M1" s="4487"/>
      <c r="N1" s="4488"/>
      <c r="O1" s="1868"/>
      <c r="P1" s="1868"/>
    </row>
    <row r="2" spans="1:16" ht="18.600000000000001" customHeight="1" x14ac:dyDescent="0.35">
      <c r="A2" s="4476"/>
      <c r="B2" s="4480" t="s">
        <v>36</v>
      </c>
      <c r="C2" s="4481"/>
      <c r="D2" s="4481"/>
      <c r="E2" s="4481"/>
      <c r="F2" s="4481"/>
      <c r="G2" s="4481"/>
      <c r="H2" s="4482"/>
      <c r="I2" s="1870" t="s">
        <v>43</v>
      </c>
      <c r="J2" s="1871"/>
      <c r="K2" s="1871"/>
      <c r="L2" s="1871"/>
      <c r="M2" s="1871"/>
      <c r="N2" s="1872"/>
    </row>
    <row r="3" spans="1:16" ht="18.600000000000001" customHeight="1" x14ac:dyDescent="0.35">
      <c r="A3" s="4476"/>
      <c r="B3" s="4470"/>
      <c r="C3" s="4471"/>
      <c r="D3" s="4471"/>
      <c r="E3" s="4471"/>
      <c r="F3" s="4471"/>
      <c r="G3" s="4471"/>
      <c r="H3" s="4472"/>
      <c r="I3" s="1870"/>
      <c r="J3" s="1871"/>
      <c r="K3" s="1871"/>
      <c r="L3" s="1871"/>
      <c r="M3" s="1871"/>
      <c r="N3" s="1872"/>
    </row>
    <row r="4" spans="1:16" ht="18.600000000000001" customHeight="1" x14ac:dyDescent="0.35">
      <c r="A4" s="4476"/>
      <c r="B4" s="4470"/>
      <c r="C4" s="4471"/>
      <c r="D4" s="4471"/>
      <c r="E4" s="4471"/>
      <c r="F4" s="4471"/>
      <c r="G4" s="4471"/>
      <c r="H4" s="4472"/>
      <c r="I4" s="1870"/>
      <c r="J4" s="1871" t="s">
        <v>44</v>
      </c>
      <c r="K4" s="1871"/>
      <c r="L4" s="1874"/>
      <c r="M4" s="1875"/>
      <c r="N4" s="1876"/>
    </row>
    <row r="5" spans="1:16" ht="18.600000000000001" customHeight="1" x14ac:dyDescent="0.35">
      <c r="A5" s="4476"/>
      <c r="B5" s="4470"/>
      <c r="C5" s="4471"/>
      <c r="D5" s="4471"/>
      <c r="E5" s="4471"/>
      <c r="F5" s="4471"/>
      <c r="G5" s="4471"/>
      <c r="H5" s="4472"/>
      <c r="I5" s="1870"/>
      <c r="J5" s="1871"/>
      <c r="K5" s="1871"/>
      <c r="L5" s="1871"/>
      <c r="M5" s="1871"/>
      <c r="N5" s="1872"/>
    </row>
    <row r="6" spans="1:16" ht="18.600000000000001" customHeight="1" x14ac:dyDescent="0.35">
      <c r="A6" s="4476"/>
      <c r="B6" s="4470"/>
      <c r="C6" s="4471"/>
      <c r="D6" s="4471"/>
      <c r="E6" s="4471"/>
      <c r="F6" s="4471"/>
      <c r="G6" s="4471"/>
      <c r="H6" s="4472"/>
      <c r="I6" s="1870"/>
      <c r="J6" s="1871" t="s">
        <v>45</v>
      </c>
      <c r="K6" s="1871"/>
      <c r="L6" s="1874"/>
      <c r="M6" s="1875"/>
      <c r="N6" s="1876"/>
    </row>
    <row r="7" spans="1:16" ht="18.600000000000001" customHeight="1" x14ac:dyDescent="0.3">
      <c r="A7" s="4476"/>
      <c r="B7" s="4473" t="s">
        <v>37</v>
      </c>
      <c r="C7" s="4474"/>
      <c r="D7" s="4474"/>
      <c r="E7" s="4474"/>
      <c r="F7" s="1877"/>
      <c r="G7" s="1877"/>
      <c r="H7" s="1878"/>
      <c r="I7" s="4491" t="s">
        <v>46</v>
      </c>
      <c r="J7" s="4492"/>
      <c r="K7" s="1871"/>
      <c r="L7" s="1871"/>
      <c r="M7" s="1871"/>
      <c r="N7" s="1879"/>
    </row>
    <row r="8" spans="1:16" ht="18.600000000000001" customHeight="1" x14ac:dyDescent="0.3">
      <c r="A8" s="4476"/>
      <c r="B8" s="4489" t="s">
        <v>100</v>
      </c>
      <c r="C8" s="4490"/>
      <c r="D8" s="4490"/>
      <c r="E8" s="4490"/>
      <c r="F8" s="4490"/>
      <c r="G8" s="4490"/>
      <c r="H8" s="1880"/>
      <c r="I8" s="4493" t="s">
        <v>47</v>
      </c>
      <c r="J8" s="4494"/>
      <c r="K8" s="4494"/>
      <c r="L8" s="1871"/>
      <c r="M8" s="1871"/>
      <c r="N8" s="1879"/>
    </row>
    <row r="9" spans="1:16" ht="18.600000000000001" customHeight="1" x14ac:dyDescent="0.35">
      <c r="A9" s="4476"/>
      <c r="B9" s="1881"/>
      <c r="C9" s="1882"/>
      <c r="D9" s="1882"/>
      <c r="E9" s="1882"/>
      <c r="F9" s="1882"/>
      <c r="G9" s="1882"/>
      <c r="H9" s="1883"/>
      <c r="I9" s="1884"/>
      <c r="J9" s="1871"/>
      <c r="K9" s="1871"/>
      <c r="L9" s="1871"/>
      <c r="M9" s="1871"/>
      <c r="N9" s="1885"/>
    </row>
    <row r="10" spans="1:16" ht="18.600000000000001" customHeight="1" x14ac:dyDescent="0.35">
      <c r="A10" s="4477" t="s">
        <v>75</v>
      </c>
      <c r="B10" s="1886" t="s">
        <v>39</v>
      </c>
      <c r="C10" s="4465" t="s">
        <v>38</v>
      </c>
      <c r="D10" s="4465"/>
      <c r="E10" s="4465"/>
      <c r="F10" s="4465"/>
      <c r="G10" s="4465"/>
      <c r="H10" s="4465"/>
      <c r="I10" s="1870"/>
      <c r="J10" s="1887"/>
      <c r="K10" s="1888"/>
      <c r="L10" s="1888"/>
      <c r="M10" s="1889">
        <v>0</v>
      </c>
      <c r="N10" s="1872" t="s">
        <v>48</v>
      </c>
    </row>
    <row r="11" spans="1:16" ht="18.600000000000001" customHeight="1" x14ac:dyDescent="0.35">
      <c r="A11" s="4478"/>
      <c r="B11" s="1890"/>
      <c r="C11" s="1891"/>
      <c r="D11" s="1891"/>
      <c r="E11" s="1891"/>
      <c r="F11" s="1891"/>
      <c r="G11" s="1891"/>
      <c r="H11" s="1891"/>
      <c r="I11" s="1870"/>
      <c r="J11" s="1871"/>
      <c r="K11" s="1871"/>
      <c r="L11" s="1871"/>
      <c r="M11" s="1871"/>
      <c r="N11" s="1872"/>
    </row>
    <row r="12" spans="1:16" ht="18.600000000000001" customHeight="1" x14ac:dyDescent="0.35">
      <c r="A12" s="4478"/>
      <c r="B12" s="1890" t="s">
        <v>40</v>
      </c>
      <c r="C12" s="4465" t="s">
        <v>41</v>
      </c>
      <c r="D12" s="4465"/>
      <c r="E12" s="4465"/>
      <c r="F12" s="4465"/>
      <c r="G12" s="4465"/>
      <c r="H12" s="4465"/>
      <c r="I12" s="1870"/>
      <c r="J12" s="1871"/>
      <c r="K12" s="1871"/>
      <c r="L12" s="1871"/>
      <c r="M12" s="1871"/>
      <c r="N12" s="1872"/>
    </row>
    <row r="13" spans="1:16" ht="18.600000000000001" customHeight="1" x14ac:dyDescent="0.4">
      <c r="A13" s="4478"/>
      <c r="B13" s="1890"/>
      <c r="C13" s="1891"/>
      <c r="D13" s="4469" t="s">
        <v>49</v>
      </c>
      <c r="E13" s="4469"/>
      <c r="F13" s="4469"/>
      <c r="G13" s="4469"/>
      <c r="H13" s="4469"/>
      <c r="I13" s="1870" t="s">
        <v>334</v>
      </c>
      <c r="J13" s="4466">
        <f>'LIV-SORTIE'!F29</f>
        <v>0</v>
      </c>
      <c r="K13" s="4467"/>
      <c r="L13" s="4467"/>
      <c r="M13" s="4468"/>
      <c r="N13" s="1872" t="s">
        <v>32</v>
      </c>
      <c r="O13" s="1892"/>
    </row>
    <row r="14" spans="1:16" ht="18.600000000000001" customHeight="1" x14ac:dyDescent="0.4">
      <c r="A14" s="4478"/>
      <c r="B14" s="1890"/>
      <c r="C14" s="1891"/>
      <c r="D14" s="1891"/>
      <c r="E14" s="1891"/>
      <c r="F14" s="1891"/>
      <c r="G14" s="1891"/>
      <c r="H14" s="1891"/>
      <c r="I14" s="1870"/>
      <c r="J14" s="1893"/>
      <c r="K14" s="1893"/>
      <c r="L14" s="1893"/>
      <c r="M14" s="1893"/>
      <c r="N14" s="1872"/>
    </row>
    <row r="15" spans="1:16" ht="18.600000000000001" customHeight="1" x14ac:dyDescent="0.4">
      <c r="A15" s="4478"/>
      <c r="B15" s="1890"/>
      <c r="C15" s="1891"/>
      <c r="D15" s="4469" t="s">
        <v>51</v>
      </c>
      <c r="E15" s="4469"/>
      <c r="F15" s="1891"/>
      <c r="G15" s="1891"/>
      <c r="H15" s="1891"/>
      <c r="I15" s="1870" t="s">
        <v>334</v>
      </c>
      <c r="J15" s="4466">
        <f>'LIV-SORTIE'!G29</f>
        <v>0</v>
      </c>
      <c r="K15" s="4467"/>
      <c r="L15" s="4467"/>
      <c r="M15" s="4468"/>
      <c r="N15" s="1872" t="s">
        <v>33</v>
      </c>
    </row>
    <row r="16" spans="1:16" ht="18.600000000000001" customHeight="1" x14ac:dyDescent="0.4">
      <c r="A16" s="4478"/>
      <c r="B16" s="1890"/>
      <c r="C16" s="1891"/>
      <c r="D16" s="1891"/>
      <c r="E16" s="1891"/>
      <c r="F16" s="1891"/>
      <c r="G16" s="1891"/>
      <c r="H16" s="1891"/>
      <c r="I16" s="1870"/>
      <c r="J16" s="1893"/>
      <c r="K16" s="1893"/>
      <c r="L16" s="1893"/>
      <c r="M16" s="1893"/>
      <c r="N16" s="1872"/>
    </row>
    <row r="17" spans="1:14" ht="18.600000000000001" customHeight="1" x14ac:dyDescent="0.4">
      <c r="A17" s="4478"/>
      <c r="B17" s="1890"/>
      <c r="C17" s="1891"/>
      <c r="D17" s="4469" t="s">
        <v>50</v>
      </c>
      <c r="E17" s="4469"/>
      <c r="F17" s="1891"/>
      <c r="G17" s="1891"/>
      <c r="H17" s="1891"/>
      <c r="I17" s="1870" t="s">
        <v>334</v>
      </c>
      <c r="J17" s="4466">
        <f>'LIV-SORTIE'!H29</f>
        <v>0</v>
      </c>
      <c r="K17" s="4467"/>
      <c r="L17" s="4467"/>
      <c r="M17" s="4468"/>
      <c r="N17" s="1872" t="s">
        <v>34</v>
      </c>
    </row>
    <row r="18" spans="1:14" ht="18.600000000000001" customHeight="1" x14ac:dyDescent="0.4">
      <c r="A18" s="4478"/>
      <c r="B18" s="1890"/>
      <c r="C18" s="1891"/>
      <c r="D18" s="1891"/>
      <c r="E18" s="1891"/>
      <c r="F18" s="1891"/>
      <c r="G18" s="1891"/>
      <c r="H18" s="1891"/>
      <c r="I18" s="1870"/>
      <c r="J18" s="1893"/>
      <c r="K18" s="1893"/>
      <c r="L18" s="1893"/>
      <c r="M18" s="1893"/>
      <c r="N18" s="1872"/>
    </row>
    <row r="19" spans="1:14" ht="18.600000000000001" customHeight="1" x14ac:dyDescent="0.4">
      <c r="A19" s="4478"/>
      <c r="B19" s="1890" t="s">
        <v>52</v>
      </c>
      <c r="C19" s="4465" t="s">
        <v>53</v>
      </c>
      <c r="D19" s="4465"/>
      <c r="E19" s="4465"/>
      <c r="F19" s="4465"/>
      <c r="G19" s="4465"/>
      <c r="H19" s="4465"/>
      <c r="I19" s="1870"/>
      <c r="J19" s="1893"/>
      <c r="K19" s="1893"/>
      <c r="L19" s="1893"/>
      <c r="M19" s="1893"/>
      <c r="N19" s="1872"/>
    </row>
    <row r="20" spans="1:14" ht="18.600000000000001" customHeight="1" x14ac:dyDescent="0.4">
      <c r="A20" s="4478"/>
      <c r="B20" s="1890"/>
      <c r="C20" s="4465" t="s">
        <v>54</v>
      </c>
      <c r="D20" s="4465"/>
      <c r="E20" s="4465"/>
      <c r="F20" s="4465"/>
      <c r="G20" s="4465"/>
      <c r="H20" s="4465"/>
      <c r="I20" s="1870"/>
      <c r="J20" s="4466"/>
      <c r="K20" s="4467"/>
      <c r="L20" s="4467"/>
      <c r="M20" s="4468"/>
      <c r="N20" s="1872" t="s">
        <v>55</v>
      </c>
    </row>
    <row r="21" spans="1:14" ht="18.600000000000001" customHeight="1" x14ac:dyDescent="0.4">
      <c r="A21" s="4478"/>
      <c r="B21" s="1890"/>
      <c r="C21" s="1891"/>
      <c r="D21" s="1891"/>
      <c r="E21" s="1891"/>
      <c r="F21" s="1891"/>
      <c r="G21" s="1891"/>
      <c r="H21" s="1891"/>
      <c r="I21" s="1870"/>
      <c r="J21" s="1893"/>
      <c r="K21" s="1893"/>
      <c r="L21" s="1893"/>
      <c r="M21" s="1893"/>
      <c r="N21" s="1872"/>
    </row>
    <row r="22" spans="1:14" ht="18.600000000000001" customHeight="1" x14ac:dyDescent="0.4">
      <c r="A22" s="4478"/>
      <c r="B22" s="1890" t="s">
        <v>56</v>
      </c>
      <c r="C22" s="4465" t="s">
        <v>41</v>
      </c>
      <c r="D22" s="4465"/>
      <c r="E22" s="4465"/>
      <c r="F22" s="4465"/>
      <c r="G22" s="4465"/>
      <c r="H22" s="4465"/>
      <c r="I22" s="1870"/>
      <c r="J22" s="1893"/>
      <c r="K22" s="1893"/>
      <c r="L22" s="1893"/>
      <c r="M22" s="1893"/>
      <c r="N22" s="1872"/>
    </row>
    <row r="23" spans="1:14" ht="18.600000000000001" customHeight="1" x14ac:dyDescent="0.4">
      <c r="A23" s="4478"/>
      <c r="B23" s="1890"/>
      <c r="C23" s="4465" t="s">
        <v>57</v>
      </c>
      <c r="D23" s="4465"/>
      <c r="E23" s="4465"/>
      <c r="F23" s="4465"/>
      <c r="G23" s="4465"/>
      <c r="H23" s="4465"/>
      <c r="I23" s="1870" t="s">
        <v>334</v>
      </c>
      <c r="J23" s="4466">
        <f>'LIV-SORTIE'!I29</f>
        <v>0</v>
      </c>
      <c r="K23" s="4467"/>
      <c r="L23" s="4467"/>
      <c r="M23" s="4468"/>
      <c r="N23" s="1872" t="s">
        <v>58</v>
      </c>
    </row>
    <row r="24" spans="1:14" ht="18.600000000000001" customHeight="1" x14ac:dyDescent="0.4">
      <c r="A24" s="4478"/>
      <c r="B24" s="1890"/>
      <c r="C24" s="1891"/>
      <c r="D24" s="1891"/>
      <c r="E24" s="1891"/>
      <c r="F24" s="1891"/>
      <c r="G24" s="1891"/>
      <c r="H24" s="1891"/>
      <c r="I24" s="1870"/>
      <c r="J24" s="1893"/>
      <c r="K24" s="1893"/>
      <c r="L24" s="1893"/>
      <c r="M24" s="1893"/>
      <c r="N24" s="1872"/>
    </row>
    <row r="25" spans="1:14" ht="18.600000000000001" customHeight="1" x14ac:dyDescent="0.4">
      <c r="A25" s="4478"/>
      <c r="B25" s="1890" t="s">
        <v>59</v>
      </c>
      <c r="C25" s="1891" t="s">
        <v>60</v>
      </c>
      <c r="D25" s="1891"/>
      <c r="E25" s="1891"/>
      <c r="F25" s="1891"/>
      <c r="G25" s="1891"/>
      <c r="H25" s="1891"/>
      <c r="I25" s="1870"/>
      <c r="J25" s="1893"/>
      <c r="K25" s="1893"/>
      <c r="L25" s="1893"/>
      <c r="M25" s="1893"/>
      <c r="N25" s="1872"/>
    </row>
    <row r="26" spans="1:14" ht="18.600000000000001" customHeight="1" x14ac:dyDescent="0.4">
      <c r="A26" s="4478"/>
      <c r="B26" s="1890"/>
      <c r="C26" s="1891" t="s">
        <v>61</v>
      </c>
      <c r="D26" s="1891"/>
      <c r="E26" s="1891"/>
      <c r="F26" s="1891"/>
      <c r="G26" s="1891"/>
      <c r="H26" s="1891"/>
      <c r="I26" s="1870" t="s">
        <v>334</v>
      </c>
      <c r="J26" s="4466">
        <f>'LIV-SORTIE'!J29</f>
        <v>0</v>
      </c>
      <c r="K26" s="4467"/>
      <c r="L26" s="4467"/>
      <c r="M26" s="4468"/>
      <c r="N26" s="1872" t="s">
        <v>62</v>
      </c>
    </row>
    <row r="27" spans="1:14" ht="18.600000000000001" customHeight="1" x14ac:dyDescent="0.4">
      <c r="A27" s="4478"/>
      <c r="B27" s="1890"/>
      <c r="C27" s="1891"/>
      <c r="D27" s="1891"/>
      <c r="E27" s="1891"/>
      <c r="F27" s="1891"/>
      <c r="G27" s="1891"/>
      <c r="H27" s="1891"/>
      <c r="I27" s="1870"/>
      <c r="J27" s="1893"/>
      <c r="K27" s="1893"/>
      <c r="L27" s="1893"/>
      <c r="M27" s="1893"/>
      <c r="N27" s="1872"/>
    </row>
    <row r="28" spans="1:14" ht="18.600000000000001" customHeight="1" x14ac:dyDescent="0.4">
      <c r="A28" s="4478"/>
      <c r="B28" s="1890" t="s">
        <v>64</v>
      </c>
      <c r="C28" s="1891" t="s">
        <v>65</v>
      </c>
      <c r="D28" s="1891"/>
      <c r="E28" s="1891"/>
      <c r="F28" s="1891"/>
      <c r="G28" s="1891"/>
      <c r="H28" s="1891"/>
      <c r="I28" s="1870"/>
      <c r="J28" s="1893"/>
      <c r="K28" s="1893"/>
      <c r="L28" s="1893"/>
      <c r="M28" s="1893"/>
      <c r="N28" s="1872"/>
    </row>
    <row r="29" spans="1:14" ht="18.600000000000001" customHeight="1" x14ac:dyDescent="0.4">
      <c r="A29" s="4478"/>
      <c r="B29" s="1890"/>
      <c r="C29" s="1891" t="s">
        <v>66</v>
      </c>
      <c r="D29" s="1891"/>
      <c r="E29" s="1891"/>
      <c r="F29" s="1891"/>
      <c r="G29" s="1891"/>
      <c r="H29" s="1891"/>
      <c r="I29" s="1870" t="s">
        <v>334</v>
      </c>
      <c r="J29" s="4466">
        <f>'LIV-SORTIE'!K29</f>
        <v>0</v>
      </c>
      <c r="K29" s="4467"/>
      <c r="L29" s="4467"/>
      <c r="M29" s="4468"/>
      <c r="N29" s="1872" t="s">
        <v>63</v>
      </c>
    </row>
    <row r="30" spans="1:14" ht="18.600000000000001" customHeight="1" x14ac:dyDescent="0.4">
      <c r="A30" s="4478"/>
      <c r="B30" s="1890"/>
      <c r="C30" s="1891"/>
      <c r="D30" s="1891"/>
      <c r="E30" s="1891"/>
      <c r="F30" s="1891"/>
      <c r="G30" s="1891"/>
      <c r="H30" s="1891"/>
      <c r="I30" s="1870"/>
      <c r="J30" s="1893"/>
      <c r="K30" s="1893"/>
      <c r="L30" s="1893"/>
      <c r="M30" s="1893"/>
      <c r="N30" s="1872"/>
    </row>
    <row r="31" spans="1:14" ht="18.600000000000001" customHeight="1" x14ac:dyDescent="0.4">
      <c r="A31" s="4478"/>
      <c r="B31" s="1890"/>
      <c r="C31" s="1891"/>
      <c r="D31" s="1891"/>
      <c r="E31" s="1891"/>
      <c r="F31" s="1891"/>
      <c r="G31" s="1891"/>
      <c r="H31" s="1891"/>
      <c r="I31" s="1870"/>
      <c r="J31" s="1893"/>
      <c r="K31" s="1893"/>
      <c r="L31" s="1893"/>
      <c r="M31" s="1893"/>
      <c r="N31" s="1872"/>
    </row>
    <row r="32" spans="1:14" ht="18.600000000000001" customHeight="1" x14ac:dyDescent="0.4">
      <c r="A32" s="4478"/>
      <c r="B32" s="1890" t="s">
        <v>67</v>
      </c>
      <c r="C32" s="1891" t="s">
        <v>68</v>
      </c>
      <c r="D32" s="1891"/>
      <c r="E32" s="1891"/>
      <c r="F32" s="1891"/>
      <c r="G32" s="1891"/>
      <c r="H32" s="1891"/>
      <c r="I32" s="1870"/>
      <c r="J32" s="1893"/>
      <c r="K32" s="1893"/>
      <c r="L32" s="1893"/>
      <c r="M32" s="1893"/>
      <c r="N32" s="1872"/>
    </row>
    <row r="33" spans="1:14" ht="18.600000000000001" customHeight="1" x14ac:dyDescent="0.4">
      <c r="A33" s="4478"/>
      <c r="B33" s="1890"/>
      <c r="C33" s="1891" t="s">
        <v>69</v>
      </c>
      <c r="D33" s="1891"/>
      <c r="E33" s="1891"/>
      <c r="F33" s="1891"/>
      <c r="G33" s="1891"/>
      <c r="H33" s="1891"/>
      <c r="I33" s="1870"/>
      <c r="J33" s="1893"/>
      <c r="K33" s="1893"/>
      <c r="L33" s="1893"/>
      <c r="M33" s="1893"/>
      <c r="N33" s="1872"/>
    </row>
    <row r="34" spans="1:14" ht="18.600000000000001" customHeight="1" x14ac:dyDescent="0.4">
      <c r="A34" s="4478"/>
      <c r="B34" s="1890"/>
      <c r="C34" s="1891"/>
      <c r="D34" s="1891"/>
      <c r="E34" s="1891"/>
      <c r="F34" s="1891"/>
      <c r="G34" s="1891"/>
      <c r="H34" s="1891"/>
      <c r="I34" s="1870"/>
      <c r="J34" s="1893"/>
      <c r="K34" s="1893"/>
      <c r="L34" s="1893"/>
      <c r="M34" s="1893"/>
      <c r="N34" s="1872"/>
    </row>
    <row r="35" spans="1:14" ht="18.600000000000001" customHeight="1" x14ac:dyDescent="0.4">
      <c r="A35" s="4478"/>
      <c r="B35" s="1890"/>
      <c r="C35" s="4469" t="s">
        <v>70</v>
      </c>
      <c r="D35" s="4469"/>
      <c r="E35" s="4469"/>
      <c r="F35" s="4469"/>
      <c r="G35" s="4469"/>
      <c r="H35" s="4469"/>
      <c r="I35" s="1870" t="s">
        <v>335</v>
      </c>
      <c r="J35" s="4466">
        <f>'LIV-SORTIE'!L29</f>
        <v>0</v>
      </c>
      <c r="K35" s="4467"/>
      <c r="L35" s="4467"/>
      <c r="M35" s="4468"/>
      <c r="N35" s="1872" t="s">
        <v>72</v>
      </c>
    </row>
    <row r="36" spans="1:14" ht="18.600000000000001" customHeight="1" x14ac:dyDescent="0.4">
      <c r="A36" s="4478"/>
      <c r="B36" s="1890"/>
      <c r="C36" s="1891"/>
      <c r="D36" s="1891"/>
      <c r="E36" s="1891"/>
      <c r="F36" s="1891"/>
      <c r="G36" s="1891"/>
      <c r="H36" s="1891"/>
      <c r="I36" s="1870"/>
      <c r="J36" s="1893"/>
      <c r="K36" s="1893"/>
      <c r="L36" s="1893"/>
      <c r="M36" s="1893"/>
      <c r="N36" s="1872"/>
    </row>
    <row r="37" spans="1:14" ht="18.600000000000001" customHeight="1" x14ac:dyDescent="0.4">
      <c r="A37" s="4478"/>
      <c r="B37" s="1890"/>
      <c r="C37" s="4469" t="s">
        <v>71</v>
      </c>
      <c r="D37" s="4469"/>
      <c r="E37" s="4469"/>
      <c r="F37" s="4469"/>
      <c r="G37" s="4469"/>
      <c r="H37" s="4469"/>
      <c r="I37" s="1870" t="s">
        <v>335</v>
      </c>
      <c r="J37" s="4466">
        <f>'LIV-SORTIE'!M29</f>
        <v>0</v>
      </c>
      <c r="K37" s="4467"/>
      <c r="L37" s="4467"/>
      <c r="M37" s="4468"/>
      <c r="N37" s="1872" t="s">
        <v>73</v>
      </c>
    </row>
    <row r="38" spans="1:14" ht="18.600000000000001" customHeight="1" x14ac:dyDescent="0.35">
      <c r="A38" s="4479"/>
      <c r="B38" s="1894"/>
      <c r="C38" s="1895"/>
      <c r="D38" s="1895"/>
      <c r="E38" s="1895"/>
      <c r="F38" s="1895"/>
      <c r="G38" s="1895"/>
      <c r="H38" s="1895"/>
      <c r="I38" s="1884"/>
      <c r="J38" s="1896"/>
      <c r="K38" s="1896"/>
      <c r="L38" s="1896"/>
      <c r="M38" s="1896"/>
      <c r="N38" s="1885"/>
    </row>
    <row r="39" spans="1:14" ht="18.600000000000001" customHeight="1" x14ac:dyDescent="0.35">
      <c r="A39" s="4477" t="s">
        <v>99</v>
      </c>
      <c r="B39" s="1890"/>
      <c r="C39" s="1891"/>
      <c r="D39" s="1891"/>
      <c r="E39" s="1891"/>
      <c r="F39" s="1891"/>
      <c r="G39" s="1891"/>
      <c r="H39" s="1891"/>
      <c r="I39" s="1870"/>
      <c r="J39" s="1897"/>
      <c r="K39" s="1897"/>
      <c r="L39" s="1897"/>
      <c r="M39" s="1897"/>
      <c r="N39" s="1872"/>
    </row>
    <row r="40" spans="1:14" ht="18.600000000000001" customHeight="1" x14ac:dyDescent="0.35">
      <c r="A40" s="4478"/>
      <c r="B40" s="1890" t="s">
        <v>39</v>
      </c>
      <c r="C40" s="4465" t="s">
        <v>76</v>
      </c>
      <c r="D40" s="4465"/>
      <c r="E40" s="4465"/>
      <c r="F40" s="4465"/>
      <c r="G40" s="4465"/>
      <c r="H40" s="4465"/>
      <c r="I40" s="1870"/>
      <c r="J40" s="1897"/>
      <c r="K40" s="1897"/>
      <c r="L40" s="1897"/>
      <c r="M40" s="1897"/>
      <c r="N40" s="1872"/>
    </row>
    <row r="41" spans="1:14" ht="18.600000000000001" customHeight="1" x14ac:dyDescent="0.35">
      <c r="A41" s="4478"/>
      <c r="B41" s="1890"/>
      <c r="C41" s="4465" t="s">
        <v>77</v>
      </c>
      <c r="D41" s="4465"/>
      <c r="E41" s="4465"/>
      <c r="F41" s="4465"/>
      <c r="G41" s="4465"/>
      <c r="H41" s="4465"/>
      <c r="I41" s="1870"/>
      <c r="J41" s="1897"/>
      <c r="K41" s="1897"/>
      <c r="L41" s="1897"/>
      <c r="M41" s="1897"/>
      <c r="N41" s="1872"/>
    </row>
    <row r="42" spans="1:14" ht="18.600000000000001" customHeight="1" x14ac:dyDescent="0.35">
      <c r="A42" s="4478"/>
      <c r="B42" s="1890"/>
      <c r="C42" s="1891"/>
      <c r="D42" s="1891"/>
      <c r="E42" s="1891"/>
      <c r="F42" s="1891"/>
      <c r="G42" s="1891"/>
      <c r="H42" s="1891"/>
      <c r="I42" s="1870"/>
      <c r="J42" s="1897"/>
      <c r="K42" s="1897"/>
      <c r="L42" s="1897"/>
      <c r="M42" s="1897"/>
      <c r="N42" s="1872"/>
    </row>
    <row r="43" spans="1:14" ht="18.600000000000001" customHeight="1" x14ac:dyDescent="0.35">
      <c r="A43" s="4478"/>
      <c r="B43" s="1890"/>
      <c r="C43" s="4469" t="s">
        <v>78</v>
      </c>
      <c r="D43" s="4469"/>
      <c r="E43" s="4469"/>
      <c r="F43" s="4469"/>
      <c r="G43" s="4469"/>
      <c r="H43" s="4469"/>
      <c r="I43" s="1870"/>
      <c r="J43" s="1897"/>
      <c r="K43" s="1897"/>
      <c r="L43" s="1897"/>
      <c r="M43" s="1897"/>
      <c r="N43" s="1872"/>
    </row>
    <row r="44" spans="1:14" ht="18.600000000000001" customHeight="1" x14ac:dyDescent="0.4">
      <c r="A44" s="4478"/>
      <c r="B44" s="1890"/>
      <c r="C44" s="4465" t="s">
        <v>79</v>
      </c>
      <c r="D44" s="4465"/>
      <c r="E44" s="4465"/>
      <c r="F44" s="4465"/>
      <c r="G44" s="4465"/>
      <c r="H44" s="4465"/>
      <c r="I44" s="1898" t="s">
        <v>322</v>
      </c>
      <c r="J44" s="4466">
        <f>'LIV-ENTREE'!F23</f>
        <v>5750</v>
      </c>
      <c r="K44" s="4467"/>
      <c r="L44" s="4467"/>
      <c r="M44" s="4468"/>
      <c r="N44" s="1872" t="s">
        <v>80</v>
      </c>
    </row>
    <row r="45" spans="1:14" ht="18.600000000000001" customHeight="1" x14ac:dyDescent="0.4">
      <c r="A45" s="4478"/>
      <c r="B45" s="1890"/>
      <c r="C45" s="1891"/>
      <c r="D45" s="1891"/>
      <c r="E45" s="1891"/>
      <c r="F45" s="1891"/>
      <c r="G45" s="1891"/>
      <c r="H45" s="1891"/>
      <c r="I45" s="1898"/>
      <c r="J45" s="1893"/>
      <c r="K45" s="1893"/>
      <c r="L45" s="1893"/>
      <c r="M45" s="1893"/>
      <c r="N45" s="1872"/>
    </row>
    <row r="46" spans="1:14" ht="18.600000000000001" customHeight="1" x14ac:dyDescent="0.4">
      <c r="A46" s="4478"/>
      <c r="B46" s="1890"/>
      <c r="C46" s="4469" t="s">
        <v>82</v>
      </c>
      <c r="D46" s="4469"/>
      <c r="E46" s="4469"/>
      <c r="F46" s="4469"/>
      <c r="G46" s="4469"/>
      <c r="H46" s="1891"/>
      <c r="I46" s="1898" t="s">
        <v>322</v>
      </c>
      <c r="J46" s="4466">
        <f>'LIV-ENTREE'!G23</f>
        <v>0</v>
      </c>
      <c r="K46" s="4467"/>
      <c r="L46" s="4467"/>
      <c r="M46" s="4468"/>
      <c r="N46" s="1872" t="s">
        <v>81</v>
      </c>
    </row>
    <row r="47" spans="1:14" ht="18.600000000000001" customHeight="1" x14ac:dyDescent="0.4">
      <c r="A47" s="4478"/>
      <c r="B47" s="1890"/>
      <c r="C47" s="1891"/>
      <c r="D47" s="1891"/>
      <c r="E47" s="1891"/>
      <c r="F47" s="1891"/>
      <c r="G47" s="1891"/>
      <c r="H47" s="1891"/>
      <c r="I47" s="1898"/>
      <c r="J47" s="1893"/>
      <c r="K47" s="1893"/>
      <c r="L47" s="1893"/>
      <c r="M47" s="1893"/>
      <c r="N47" s="1872"/>
    </row>
    <row r="48" spans="1:14" ht="18.600000000000001" customHeight="1" x14ac:dyDescent="0.4">
      <c r="A48" s="4478"/>
      <c r="B48" s="1890"/>
      <c r="C48" s="4469" t="s">
        <v>83</v>
      </c>
      <c r="D48" s="4469"/>
      <c r="E48" s="4469"/>
      <c r="F48" s="4469"/>
      <c r="G48" s="4469"/>
      <c r="H48" s="1891"/>
      <c r="I48" s="1898" t="s">
        <v>322</v>
      </c>
      <c r="J48" s="4466">
        <f>'LIV-ENTREE'!H23</f>
        <v>0</v>
      </c>
      <c r="K48" s="4467"/>
      <c r="L48" s="4467"/>
      <c r="M48" s="4468"/>
      <c r="N48" s="1872" t="s">
        <v>84</v>
      </c>
    </row>
    <row r="49" spans="1:14" ht="18.600000000000001" customHeight="1" x14ac:dyDescent="0.4">
      <c r="A49" s="4478"/>
      <c r="B49" s="1890"/>
      <c r="C49" s="1891"/>
      <c r="D49" s="1891"/>
      <c r="E49" s="1891"/>
      <c r="F49" s="1891"/>
      <c r="G49" s="1891"/>
      <c r="H49" s="1891"/>
      <c r="I49" s="1898"/>
      <c r="J49" s="1893"/>
      <c r="K49" s="1893"/>
      <c r="L49" s="1893"/>
      <c r="M49" s="1893"/>
      <c r="N49" s="1872"/>
    </row>
    <row r="50" spans="1:14" ht="18.600000000000001" customHeight="1" x14ac:dyDescent="0.4">
      <c r="A50" s="4478"/>
      <c r="B50" s="1890" t="s">
        <v>40</v>
      </c>
      <c r="C50" s="4465" t="s">
        <v>85</v>
      </c>
      <c r="D50" s="4465"/>
      <c r="E50" s="4465"/>
      <c r="F50" s="4465"/>
      <c r="G50" s="4465"/>
      <c r="H50" s="4465"/>
      <c r="I50" s="1898"/>
      <c r="J50" s="1893"/>
      <c r="K50" s="1893"/>
      <c r="L50" s="1893"/>
      <c r="M50" s="1893"/>
      <c r="N50" s="1872"/>
    </row>
    <row r="51" spans="1:14" ht="18.600000000000001" customHeight="1" x14ac:dyDescent="0.4">
      <c r="A51" s="4478"/>
      <c r="B51" s="1890"/>
      <c r="C51" s="4465" t="s">
        <v>86</v>
      </c>
      <c r="D51" s="4465"/>
      <c r="E51" s="4465"/>
      <c r="F51" s="4465"/>
      <c r="G51" s="4465"/>
      <c r="H51" s="4465"/>
      <c r="I51" s="1898"/>
      <c r="J51" s="1893"/>
      <c r="K51" s="1893"/>
      <c r="L51" s="1893"/>
      <c r="M51" s="1893"/>
      <c r="N51" s="1872"/>
    </row>
    <row r="52" spans="1:14" ht="18.600000000000001" customHeight="1" x14ac:dyDescent="0.4">
      <c r="A52" s="4478"/>
      <c r="B52" s="1890"/>
      <c r="C52" s="1891"/>
      <c r="D52" s="1891"/>
      <c r="E52" s="1891"/>
      <c r="F52" s="1891"/>
      <c r="G52" s="1891"/>
      <c r="H52" s="1891"/>
      <c r="I52" s="1898"/>
      <c r="J52" s="1893"/>
      <c r="K52" s="1893"/>
      <c r="L52" s="1893"/>
      <c r="M52" s="1893"/>
      <c r="N52" s="1872"/>
    </row>
    <row r="53" spans="1:14" ht="18.600000000000001" customHeight="1" x14ac:dyDescent="0.4">
      <c r="A53" s="4478"/>
      <c r="B53" s="1890"/>
      <c r="C53" s="4469" t="s">
        <v>87</v>
      </c>
      <c r="D53" s="4469"/>
      <c r="E53" s="4469"/>
      <c r="F53" s="4469"/>
      <c r="G53" s="4469"/>
      <c r="H53" s="4469"/>
      <c r="I53" s="1898"/>
      <c r="J53" s="4466"/>
      <c r="K53" s="4467"/>
      <c r="L53" s="4467"/>
      <c r="M53" s="4468"/>
      <c r="N53" s="1872" t="s">
        <v>93</v>
      </c>
    </row>
    <row r="54" spans="1:14" ht="18.600000000000001" customHeight="1" x14ac:dyDescent="0.4">
      <c r="A54" s="4478"/>
      <c r="B54" s="1890"/>
      <c r="C54" s="1899"/>
      <c r="D54" s="1899"/>
      <c r="E54" s="1899"/>
      <c r="F54" s="1899"/>
      <c r="G54" s="1899"/>
      <c r="H54" s="1899"/>
      <c r="I54" s="1898"/>
      <c r="J54" s="1893"/>
      <c r="K54" s="1893"/>
      <c r="L54" s="1893"/>
      <c r="M54" s="1893"/>
      <c r="N54" s="1872"/>
    </row>
    <row r="55" spans="1:14" ht="18.600000000000001" customHeight="1" x14ac:dyDescent="0.4">
      <c r="A55" s="4478"/>
      <c r="B55" s="1890"/>
      <c r="C55" s="1899" t="s">
        <v>94</v>
      </c>
      <c r="D55" s="1899"/>
      <c r="E55" s="1899"/>
      <c r="F55" s="1899"/>
      <c r="G55" s="1899"/>
      <c r="H55" s="1899"/>
      <c r="I55" s="1898"/>
      <c r="J55" s="4466">
        <f>'LIV-ENTREE'!J23</f>
        <v>0</v>
      </c>
      <c r="K55" s="4467"/>
      <c r="L55" s="4467"/>
      <c r="M55" s="4468"/>
      <c r="N55" s="1872" t="s">
        <v>95</v>
      </c>
    </row>
    <row r="56" spans="1:14" ht="18.600000000000001" customHeight="1" x14ac:dyDescent="0.4">
      <c r="A56" s="4478"/>
      <c r="B56" s="1890"/>
      <c r="C56" s="1891"/>
      <c r="D56" s="1891"/>
      <c r="E56" s="1891"/>
      <c r="F56" s="1891"/>
      <c r="G56" s="1891"/>
      <c r="H56" s="1891"/>
      <c r="I56" s="1898"/>
      <c r="J56" s="1893"/>
      <c r="K56" s="1893"/>
      <c r="L56" s="1893"/>
      <c r="M56" s="1893"/>
      <c r="N56" s="1872"/>
    </row>
    <row r="57" spans="1:14" ht="18.600000000000001" customHeight="1" x14ac:dyDescent="0.4">
      <c r="A57" s="4478"/>
      <c r="B57" s="1890" t="s">
        <v>52</v>
      </c>
      <c r="C57" s="1900" t="s">
        <v>88</v>
      </c>
      <c r="D57" s="1900"/>
      <c r="E57" s="1900"/>
      <c r="F57" s="1900"/>
      <c r="G57" s="1900"/>
      <c r="H57" s="1900"/>
      <c r="I57" s="1898"/>
      <c r="J57" s="1893"/>
      <c r="K57" s="1893"/>
      <c r="L57" s="1893"/>
      <c r="M57" s="1893"/>
      <c r="N57" s="1872"/>
    </row>
    <row r="58" spans="1:14" ht="18.600000000000001" customHeight="1" x14ac:dyDescent="0.4">
      <c r="A58" s="4478"/>
      <c r="B58" s="1890"/>
      <c r="C58" s="1900" t="s">
        <v>89</v>
      </c>
      <c r="D58" s="1900"/>
      <c r="E58" s="1900"/>
      <c r="F58" s="1900"/>
      <c r="G58" s="1900"/>
      <c r="H58" s="1900"/>
      <c r="I58" s="1898"/>
      <c r="J58" s="4466">
        <f>'LIV-ENTREE'!L23</f>
        <v>0</v>
      </c>
      <c r="K58" s="4467"/>
      <c r="L58" s="4467"/>
      <c r="M58" s="4468"/>
      <c r="N58" s="1872" t="s">
        <v>96</v>
      </c>
    </row>
    <row r="59" spans="1:14" ht="18.600000000000001" customHeight="1" x14ac:dyDescent="0.4">
      <c r="A59" s="4478"/>
      <c r="B59" s="1890"/>
      <c r="C59" s="1900"/>
      <c r="D59" s="1900"/>
      <c r="E59" s="1900"/>
      <c r="F59" s="1900"/>
      <c r="G59" s="1900"/>
      <c r="H59" s="1900"/>
      <c r="I59" s="1898"/>
      <c r="J59" s="1893"/>
      <c r="K59" s="1893"/>
      <c r="L59" s="1893"/>
      <c r="M59" s="1893"/>
      <c r="N59" s="1872"/>
    </row>
    <row r="60" spans="1:14" ht="18.600000000000001" customHeight="1" x14ac:dyDescent="0.4">
      <c r="A60" s="4478"/>
      <c r="B60" s="1890" t="s">
        <v>56</v>
      </c>
      <c r="C60" s="1900" t="s">
        <v>90</v>
      </c>
      <c r="D60" s="1900"/>
      <c r="E60" s="1900"/>
      <c r="F60" s="1900"/>
      <c r="G60" s="1900"/>
      <c r="H60" s="1900"/>
      <c r="I60" s="1898"/>
      <c r="J60" s="4466">
        <f>'LIV-ENTREE'!N23</f>
        <v>0</v>
      </c>
      <c r="K60" s="4467"/>
      <c r="L60" s="4467"/>
      <c r="M60" s="4468"/>
      <c r="N60" s="1872" t="s">
        <v>97</v>
      </c>
    </row>
    <row r="61" spans="1:14" ht="18.600000000000001" customHeight="1" x14ac:dyDescent="0.4">
      <c r="A61" s="4478"/>
      <c r="B61" s="1890"/>
      <c r="C61" s="1900" t="s">
        <v>91</v>
      </c>
      <c r="D61" s="1900"/>
      <c r="E61" s="1900"/>
      <c r="F61" s="1900"/>
      <c r="G61" s="1900"/>
      <c r="H61" s="1900"/>
      <c r="I61" s="1898"/>
      <c r="J61" s="1893"/>
      <c r="K61" s="1893"/>
      <c r="L61" s="1893"/>
      <c r="M61" s="1893"/>
      <c r="N61" s="1872"/>
    </row>
    <row r="62" spans="1:14" ht="18.600000000000001" customHeight="1" x14ac:dyDescent="0.4">
      <c r="A62" s="4478"/>
      <c r="B62" s="1890"/>
      <c r="C62" s="1900"/>
      <c r="D62" s="1900"/>
      <c r="E62" s="1900"/>
      <c r="F62" s="1900"/>
      <c r="G62" s="1900"/>
      <c r="H62" s="1900"/>
      <c r="I62" s="1898"/>
      <c r="J62" s="1893"/>
      <c r="K62" s="1893"/>
      <c r="L62" s="1893"/>
      <c r="M62" s="1893"/>
      <c r="N62" s="1872"/>
    </row>
    <row r="63" spans="1:14" ht="18.600000000000001" customHeight="1" x14ac:dyDescent="0.35">
      <c r="A63" s="4478"/>
      <c r="B63" s="1890" t="s">
        <v>59</v>
      </c>
      <c r="C63" s="4469" t="s">
        <v>164</v>
      </c>
      <c r="D63" s="4469"/>
      <c r="E63" s="4469"/>
      <c r="F63" s="4469"/>
      <c r="G63" s="4469"/>
      <c r="H63" s="4469"/>
      <c r="I63" s="1898"/>
      <c r="J63" s="4495"/>
      <c r="K63" s="4496"/>
      <c r="L63" s="4496"/>
      <c r="M63" s="4497"/>
      <c r="N63" s="1872" t="s">
        <v>98</v>
      </c>
    </row>
    <row r="64" spans="1:14" ht="18.600000000000001" customHeight="1" x14ac:dyDescent="0.4">
      <c r="A64" s="4479"/>
      <c r="B64" s="1894"/>
      <c r="C64" s="1901" t="s">
        <v>92</v>
      </c>
      <c r="D64" s="1901"/>
      <c r="E64" s="1901"/>
      <c r="F64" s="1901"/>
      <c r="G64" s="1901"/>
      <c r="H64" s="1901"/>
      <c r="I64" s="1902"/>
      <c r="J64" s="1903"/>
      <c r="K64" s="1903"/>
      <c r="L64" s="1903"/>
      <c r="M64" s="1903"/>
      <c r="N64" s="1885"/>
    </row>
    <row r="65" spans="1:14" ht="18" customHeight="1" x14ac:dyDescent="0.4">
      <c r="A65" s="4511" t="s">
        <v>139</v>
      </c>
      <c r="B65" s="1904"/>
      <c r="C65" s="1905"/>
      <c r="D65" s="1905"/>
      <c r="E65" s="1905"/>
      <c r="F65" s="1905"/>
      <c r="G65" s="1905"/>
      <c r="H65" s="1905"/>
      <c r="I65" s="1906"/>
      <c r="J65" s="1907"/>
      <c r="K65" s="1907"/>
      <c r="L65" s="1907"/>
      <c r="M65" s="1907"/>
      <c r="N65" s="1908"/>
    </row>
    <row r="66" spans="1:14" ht="18" customHeight="1" x14ac:dyDescent="0.4">
      <c r="A66" s="4512"/>
      <c r="B66" s="1909"/>
      <c r="C66" s="1910"/>
      <c r="D66" s="1910"/>
      <c r="E66" s="1910"/>
      <c r="F66" s="1910"/>
      <c r="G66" s="1910"/>
      <c r="H66" s="1910"/>
      <c r="I66" s="1898"/>
      <c r="J66" s="1893"/>
      <c r="K66" s="1893"/>
      <c r="L66" s="1893"/>
      <c r="M66" s="1893"/>
      <c r="N66" s="1872"/>
    </row>
    <row r="67" spans="1:14" ht="18" customHeight="1" x14ac:dyDescent="0.4">
      <c r="A67" s="4512"/>
      <c r="B67" s="1909" t="s">
        <v>39</v>
      </c>
      <c r="C67" s="1911" t="s">
        <v>101</v>
      </c>
      <c r="D67" s="1911"/>
      <c r="E67" s="1911"/>
      <c r="F67" s="1911"/>
      <c r="G67" s="1911"/>
      <c r="H67" s="1910"/>
      <c r="I67" s="1898"/>
      <c r="J67" s="1893"/>
      <c r="K67" s="1893"/>
      <c r="L67" s="1893"/>
      <c r="M67" s="1893"/>
      <c r="N67" s="1872"/>
    </row>
    <row r="68" spans="1:14" ht="18" customHeight="1" x14ac:dyDescent="0.4">
      <c r="A68" s="4512"/>
      <c r="B68" s="1909"/>
      <c r="C68" s="1911"/>
      <c r="D68" s="1911"/>
      <c r="E68" s="1911"/>
      <c r="F68" s="1911"/>
      <c r="G68" s="1911"/>
      <c r="H68" s="1910"/>
      <c r="I68" s="1898"/>
      <c r="J68" s="1893"/>
      <c r="K68" s="1893"/>
      <c r="L68" s="1893"/>
      <c r="M68" s="1893"/>
      <c r="N68" s="1872"/>
    </row>
    <row r="69" spans="1:14" ht="18" customHeight="1" x14ac:dyDescent="0.4">
      <c r="A69" s="4512"/>
      <c r="B69" s="1909"/>
      <c r="C69" s="1911" t="s">
        <v>102</v>
      </c>
      <c r="D69" s="1911"/>
      <c r="E69" s="1911"/>
      <c r="F69" s="1911"/>
      <c r="G69" s="1911"/>
      <c r="H69" s="1910"/>
      <c r="I69" s="1898" t="s">
        <v>334</v>
      </c>
      <c r="J69" s="4466">
        <f>'LIV-SORTIE'!N29</f>
        <v>0</v>
      </c>
      <c r="K69" s="4467"/>
      <c r="L69" s="4467"/>
      <c r="M69" s="4468"/>
      <c r="N69" s="1872" t="s">
        <v>147</v>
      </c>
    </row>
    <row r="70" spans="1:14" ht="18" customHeight="1" x14ac:dyDescent="0.4">
      <c r="A70" s="4512"/>
      <c r="B70" s="1909"/>
      <c r="C70" s="1911"/>
      <c r="D70" s="1911"/>
      <c r="E70" s="1911"/>
      <c r="F70" s="1911"/>
      <c r="G70" s="1911"/>
      <c r="H70" s="1910"/>
      <c r="I70" s="1898"/>
      <c r="J70" s="1893"/>
      <c r="K70" s="1893"/>
      <c r="L70" s="1893"/>
      <c r="M70" s="1893"/>
      <c r="N70" s="1872"/>
    </row>
    <row r="71" spans="1:14" ht="18" customHeight="1" x14ac:dyDescent="0.4">
      <c r="A71" s="4512"/>
      <c r="B71" s="1909"/>
      <c r="C71" s="1911" t="s">
        <v>103</v>
      </c>
      <c r="D71" s="1911"/>
      <c r="E71" s="1911"/>
      <c r="F71" s="1911"/>
      <c r="G71" s="1911"/>
      <c r="H71" s="1910"/>
      <c r="I71" s="1898" t="s">
        <v>323</v>
      </c>
      <c r="J71" s="4466">
        <f>'LIV-ENTREE'!O23</f>
        <v>0</v>
      </c>
      <c r="K71" s="4467"/>
      <c r="L71" s="4467"/>
      <c r="M71" s="4468"/>
      <c r="N71" s="1872" t="s">
        <v>148</v>
      </c>
    </row>
    <row r="72" spans="1:14" ht="18" customHeight="1" x14ac:dyDescent="0.4">
      <c r="A72" s="4512"/>
      <c r="B72" s="1909"/>
      <c r="C72" s="1911"/>
      <c r="D72" s="1911"/>
      <c r="E72" s="1911"/>
      <c r="F72" s="1911"/>
      <c r="G72" s="1911"/>
      <c r="H72" s="1910"/>
      <c r="I72" s="1898"/>
      <c r="J72" s="1893"/>
      <c r="K72" s="1893"/>
      <c r="L72" s="1893"/>
      <c r="M72" s="1893"/>
      <c r="N72" s="1872"/>
    </row>
    <row r="73" spans="1:14" ht="18" customHeight="1" x14ac:dyDescent="0.4">
      <c r="A73" s="4512"/>
      <c r="B73" s="1909"/>
      <c r="C73" s="1911" t="s">
        <v>104</v>
      </c>
      <c r="D73" s="1911"/>
      <c r="E73" s="1911"/>
      <c r="F73" s="1911"/>
      <c r="G73" s="1911"/>
      <c r="H73" s="1910"/>
      <c r="I73" s="1898" t="s">
        <v>323</v>
      </c>
      <c r="J73" s="4466">
        <f>'LIV-ENTREE'!P23</f>
        <v>0</v>
      </c>
      <c r="K73" s="4467"/>
      <c r="L73" s="4467"/>
      <c r="M73" s="4468"/>
      <c r="N73" s="1872" t="s">
        <v>149</v>
      </c>
    </row>
    <row r="74" spans="1:14" ht="18" customHeight="1" x14ac:dyDescent="0.4">
      <c r="A74" s="4512"/>
      <c r="B74" s="1909"/>
      <c r="C74" s="1911" t="s">
        <v>105</v>
      </c>
      <c r="D74" s="1911"/>
      <c r="E74" s="1911"/>
      <c r="F74" s="1911"/>
      <c r="G74" s="1911"/>
      <c r="H74" s="1910"/>
      <c r="I74" s="1898"/>
      <c r="J74" s="1893"/>
      <c r="K74" s="1893"/>
      <c r="L74" s="1893"/>
      <c r="M74" s="1893"/>
      <c r="N74" s="1872"/>
    </row>
    <row r="75" spans="1:14" ht="18" customHeight="1" x14ac:dyDescent="0.4">
      <c r="A75" s="4512"/>
      <c r="B75" s="1909"/>
      <c r="C75" s="1911"/>
      <c r="D75" s="1911"/>
      <c r="E75" s="1911"/>
      <c r="F75" s="1911"/>
      <c r="G75" s="1911"/>
      <c r="H75" s="1910"/>
      <c r="I75" s="1898"/>
      <c r="J75" s="1893"/>
      <c r="K75" s="1893"/>
      <c r="L75" s="1893"/>
      <c r="M75" s="1893"/>
      <c r="N75" s="1872"/>
    </row>
    <row r="76" spans="1:14" ht="18" customHeight="1" x14ac:dyDescent="0.4">
      <c r="A76" s="4512"/>
      <c r="B76" s="1909" t="s">
        <v>40</v>
      </c>
      <c r="C76" s="1911" t="s">
        <v>106</v>
      </c>
      <c r="D76" s="1911"/>
      <c r="E76" s="1911"/>
      <c r="F76" s="1911"/>
      <c r="G76" s="1911"/>
      <c r="H76" s="1910"/>
      <c r="I76" s="1898"/>
      <c r="J76" s="4466"/>
      <c r="K76" s="4467"/>
      <c r="L76" s="4467"/>
      <c r="M76" s="4468"/>
      <c r="N76" s="1872" t="s">
        <v>151</v>
      </c>
    </row>
    <row r="77" spans="1:14" ht="18" customHeight="1" x14ac:dyDescent="0.4">
      <c r="A77" s="4512"/>
      <c r="B77" s="1909"/>
      <c r="C77" s="1911" t="s">
        <v>92</v>
      </c>
      <c r="D77" s="1911"/>
      <c r="E77" s="1911"/>
      <c r="F77" s="1911"/>
      <c r="G77" s="1911"/>
      <c r="H77" s="1910"/>
      <c r="I77" s="1898"/>
      <c r="J77" s="1893"/>
      <c r="K77" s="1893"/>
      <c r="L77" s="1893"/>
      <c r="M77" s="1893"/>
      <c r="N77" s="1872"/>
    </row>
    <row r="78" spans="1:14" ht="18" customHeight="1" x14ac:dyDescent="0.4">
      <c r="A78" s="4512"/>
      <c r="B78" s="1909"/>
      <c r="C78" s="1911"/>
      <c r="D78" s="1911"/>
      <c r="E78" s="1911"/>
      <c r="F78" s="1911"/>
      <c r="G78" s="1911"/>
      <c r="H78" s="1910"/>
      <c r="I78" s="1898"/>
      <c r="J78" s="1893"/>
      <c r="K78" s="1893"/>
      <c r="L78" s="1893"/>
      <c r="M78" s="1893"/>
      <c r="N78" s="1872"/>
    </row>
    <row r="79" spans="1:14" ht="18" customHeight="1" x14ac:dyDescent="0.4">
      <c r="A79" s="4512"/>
      <c r="B79" s="1909" t="s">
        <v>52</v>
      </c>
      <c r="C79" s="1911" t="s">
        <v>109</v>
      </c>
      <c r="D79" s="1911"/>
      <c r="E79" s="1911"/>
      <c r="F79" s="1911"/>
      <c r="G79" s="1911"/>
      <c r="H79" s="1910"/>
      <c r="I79" s="1898"/>
      <c r="J79" s="4466"/>
      <c r="K79" s="4467"/>
      <c r="L79" s="4467"/>
      <c r="M79" s="4468"/>
      <c r="N79" s="1872" t="s">
        <v>152</v>
      </c>
    </row>
    <row r="80" spans="1:14" ht="18" customHeight="1" x14ac:dyDescent="0.4">
      <c r="A80" s="4512"/>
      <c r="B80" s="1909"/>
      <c r="C80" s="1912"/>
      <c r="D80" s="1911"/>
      <c r="E80" s="1911"/>
      <c r="F80" s="1911"/>
      <c r="G80" s="1911"/>
      <c r="H80" s="1910"/>
      <c r="I80" s="1898"/>
      <c r="J80" s="1893"/>
      <c r="K80" s="1893"/>
      <c r="L80" s="1893"/>
      <c r="M80" s="1893"/>
      <c r="N80" s="1872"/>
    </row>
    <row r="81" spans="1:14" ht="18" customHeight="1" x14ac:dyDescent="0.4">
      <c r="A81" s="4512"/>
      <c r="B81" s="1909" t="s">
        <v>56</v>
      </c>
      <c r="C81" s="1911" t="s">
        <v>107</v>
      </c>
      <c r="D81" s="1911"/>
      <c r="E81" s="1911"/>
      <c r="F81" s="1911"/>
      <c r="G81" s="1911"/>
      <c r="H81" s="1910"/>
      <c r="I81" s="1898" t="s">
        <v>323</v>
      </c>
      <c r="J81" s="4466">
        <f>'LIV-ENTREE'!R23</f>
        <v>0</v>
      </c>
      <c r="K81" s="4467"/>
      <c r="L81" s="4467"/>
      <c r="M81" s="4468"/>
      <c r="N81" s="1872" t="s">
        <v>153</v>
      </c>
    </row>
    <row r="82" spans="1:14" ht="18" customHeight="1" x14ac:dyDescent="0.4">
      <c r="A82" s="4512"/>
      <c r="B82" s="1909"/>
      <c r="C82" s="1911" t="s">
        <v>108</v>
      </c>
      <c r="D82" s="1911"/>
      <c r="E82" s="1911"/>
      <c r="F82" s="1911"/>
      <c r="G82" s="1911"/>
      <c r="H82" s="1910"/>
      <c r="I82" s="1898"/>
      <c r="J82" s="1893"/>
      <c r="K82" s="1893"/>
      <c r="L82" s="1893"/>
      <c r="M82" s="1893"/>
      <c r="N82" s="1872"/>
    </row>
    <row r="83" spans="1:14" ht="18" customHeight="1" x14ac:dyDescent="0.4">
      <c r="A83" s="4512"/>
      <c r="B83" s="1909"/>
      <c r="C83" s="1913"/>
      <c r="D83" s="1911"/>
      <c r="E83" s="1911"/>
      <c r="F83" s="1911"/>
      <c r="G83" s="1911"/>
      <c r="H83" s="1910"/>
      <c r="I83" s="1898"/>
      <c r="J83" s="1893"/>
      <c r="K83" s="1893"/>
      <c r="L83" s="1893"/>
      <c r="M83" s="1893"/>
      <c r="N83" s="1872"/>
    </row>
    <row r="84" spans="1:14" ht="18" customHeight="1" x14ac:dyDescent="0.4">
      <c r="A84" s="4512"/>
      <c r="B84" s="1909" t="s">
        <v>110</v>
      </c>
      <c r="C84" s="1911"/>
      <c r="D84" s="1911"/>
      <c r="E84" s="1911"/>
      <c r="F84" s="1911"/>
      <c r="G84" s="1911"/>
      <c r="H84" s="1910"/>
      <c r="I84" s="1898"/>
      <c r="J84" s="4466"/>
      <c r="K84" s="4467"/>
      <c r="L84" s="4467"/>
      <c r="M84" s="4468"/>
      <c r="N84" s="1872" t="s">
        <v>155</v>
      </c>
    </row>
    <row r="85" spans="1:14" ht="18" customHeight="1" x14ac:dyDescent="0.4">
      <c r="A85" s="4512"/>
      <c r="B85" s="1909"/>
      <c r="C85" s="1911"/>
      <c r="D85" s="1911"/>
      <c r="E85" s="1911"/>
      <c r="F85" s="1911"/>
      <c r="G85" s="1911"/>
      <c r="H85" s="1910"/>
      <c r="I85" s="1898"/>
      <c r="J85" s="1893"/>
      <c r="K85" s="1893"/>
      <c r="L85" s="1893"/>
      <c r="M85" s="1893"/>
      <c r="N85" s="1872"/>
    </row>
    <row r="86" spans="1:14" ht="18" customHeight="1" x14ac:dyDescent="0.4">
      <c r="A86" s="4512"/>
      <c r="B86" s="1914" t="s">
        <v>111</v>
      </c>
      <c r="C86" s="1911"/>
      <c r="D86" s="1911"/>
      <c r="E86" s="1911"/>
      <c r="F86" s="1911"/>
      <c r="G86" s="1911"/>
      <c r="H86" s="1910"/>
      <c r="I86" s="1898"/>
      <c r="J86" s="4466">
        <f>SUM(J69,J71,J73,J76,J79,J81)</f>
        <v>0</v>
      </c>
      <c r="K86" s="4467"/>
      <c r="L86" s="4467"/>
      <c r="M86" s="4468"/>
      <c r="N86" s="1872" t="s">
        <v>154</v>
      </c>
    </row>
    <row r="87" spans="1:14" ht="18" customHeight="1" x14ac:dyDescent="0.4">
      <c r="A87" s="4513"/>
      <c r="B87" s="1915"/>
      <c r="C87" s="1916"/>
      <c r="D87" s="1916"/>
      <c r="E87" s="1916"/>
      <c r="F87" s="1916"/>
      <c r="G87" s="1916"/>
      <c r="H87" s="1916"/>
      <c r="I87" s="1902"/>
      <c r="J87" s="1903"/>
      <c r="K87" s="1903"/>
      <c r="L87" s="1903"/>
      <c r="M87" s="1903"/>
      <c r="N87" s="1885"/>
    </row>
    <row r="88" spans="1:14" ht="18" customHeight="1" x14ac:dyDescent="0.4">
      <c r="A88" s="4511" t="s">
        <v>140</v>
      </c>
      <c r="B88" s="1909"/>
      <c r="C88" s="1910"/>
      <c r="D88" s="1910"/>
      <c r="E88" s="1910"/>
      <c r="F88" s="1910"/>
      <c r="G88" s="1910"/>
      <c r="H88" s="1910"/>
      <c r="I88" s="1898"/>
      <c r="J88" s="1893"/>
      <c r="K88" s="1893"/>
      <c r="L88" s="1893"/>
      <c r="M88" s="1893"/>
      <c r="N88" s="1872"/>
    </row>
    <row r="89" spans="1:14" ht="18" customHeight="1" x14ac:dyDescent="0.4">
      <c r="A89" s="4512"/>
      <c r="B89" s="1909" t="s">
        <v>39</v>
      </c>
      <c r="C89" s="1911" t="s">
        <v>112</v>
      </c>
      <c r="D89" s="1911"/>
      <c r="E89" s="1911"/>
      <c r="F89" s="1911"/>
      <c r="G89" s="1911"/>
      <c r="H89" s="1910"/>
      <c r="I89" s="1898" t="s">
        <v>322</v>
      </c>
      <c r="J89" s="4466">
        <f>'LIV-ENTREE'!S23</f>
        <v>0</v>
      </c>
      <c r="K89" s="4467"/>
      <c r="L89" s="4467"/>
      <c r="M89" s="4468"/>
      <c r="N89" s="1872" t="s">
        <v>156</v>
      </c>
    </row>
    <row r="90" spans="1:14" ht="18" customHeight="1" x14ac:dyDescent="0.4">
      <c r="A90" s="4512"/>
      <c r="B90" s="1909"/>
      <c r="C90" s="1911"/>
      <c r="D90" s="1911"/>
      <c r="E90" s="1911"/>
      <c r="F90" s="1911"/>
      <c r="G90" s="1911"/>
      <c r="H90" s="1910"/>
      <c r="I90" s="1898"/>
      <c r="J90" s="1893"/>
      <c r="K90" s="1893"/>
      <c r="L90" s="1893"/>
      <c r="M90" s="1893"/>
      <c r="N90" s="1872"/>
    </row>
    <row r="91" spans="1:14" ht="18" customHeight="1" x14ac:dyDescent="0.4">
      <c r="A91" s="4512"/>
      <c r="B91" s="1917" t="s">
        <v>40</v>
      </c>
      <c r="C91" s="1911" t="s">
        <v>113</v>
      </c>
      <c r="D91" s="1911"/>
      <c r="E91" s="1911"/>
      <c r="F91" s="1911"/>
      <c r="G91" s="1911"/>
      <c r="H91" s="1910"/>
      <c r="I91" s="1898"/>
      <c r="J91" s="4498"/>
      <c r="K91" s="4499"/>
      <c r="L91" s="4499"/>
      <c r="M91" s="4500"/>
      <c r="N91" s="1872" t="s">
        <v>157</v>
      </c>
    </row>
    <row r="92" spans="1:14" ht="18" customHeight="1" x14ac:dyDescent="0.4">
      <c r="A92" s="4512"/>
      <c r="B92" s="1909"/>
      <c r="C92" s="1911"/>
      <c r="D92" s="1911"/>
      <c r="E92" s="1911"/>
      <c r="F92" s="1911"/>
      <c r="G92" s="1911"/>
      <c r="H92" s="1910"/>
      <c r="I92" s="1898"/>
      <c r="J92" s="1893"/>
      <c r="K92" s="1893"/>
      <c r="L92" s="1893"/>
      <c r="M92" s="1893"/>
      <c r="N92" s="1872"/>
    </row>
    <row r="93" spans="1:14" ht="18" customHeight="1" x14ac:dyDescent="0.4">
      <c r="A93" s="4512"/>
      <c r="B93" s="1909" t="s">
        <v>52</v>
      </c>
      <c r="C93" s="1911" t="s">
        <v>114</v>
      </c>
      <c r="D93" s="1911"/>
      <c r="E93" s="1911"/>
      <c r="F93" s="1911"/>
      <c r="G93" s="1911"/>
      <c r="H93" s="1910"/>
      <c r="I93" s="1898" t="s">
        <v>335</v>
      </c>
      <c r="J93" s="4466">
        <f>'LIV-SORTIE'!O29</f>
        <v>0</v>
      </c>
      <c r="K93" s="4467"/>
      <c r="L93" s="4467"/>
      <c r="M93" s="4468"/>
      <c r="N93" s="1872" t="s">
        <v>158</v>
      </c>
    </row>
    <row r="94" spans="1:14" ht="18" customHeight="1" x14ac:dyDescent="0.4">
      <c r="A94" s="4512"/>
      <c r="B94" s="1909"/>
      <c r="C94" s="1911"/>
      <c r="D94" s="1911"/>
      <c r="E94" s="1911"/>
      <c r="F94" s="1911"/>
      <c r="G94" s="1911"/>
      <c r="H94" s="1910"/>
      <c r="I94" s="1898"/>
      <c r="J94" s="1893"/>
      <c r="K94" s="1893"/>
      <c r="L94" s="1893"/>
      <c r="M94" s="1893"/>
      <c r="N94" s="1872"/>
    </row>
    <row r="95" spans="1:14" ht="18" customHeight="1" x14ac:dyDescent="0.4">
      <c r="A95" s="4512"/>
      <c r="B95" s="1909" t="s">
        <v>115</v>
      </c>
      <c r="C95" s="1911"/>
      <c r="D95" s="1911"/>
      <c r="E95" s="1911"/>
      <c r="F95" s="1911"/>
      <c r="G95" s="1911"/>
      <c r="H95" s="1910"/>
      <c r="I95" s="1898"/>
      <c r="J95" s="4466"/>
      <c r="K95" s="4467"/>
      <c r="L95" s="4467"/>
      <c r="M95" s="4468"/>
      <c r="N95" s="1872" t="s">
        <v>159</v>
      </c>
    </row>
    <row r="96" spans="1:14" ht="18" customHeight="1" x14ac:dyDescent="0.4">
      <c r="A96" s="4512"/>
      <c r="B96" s="1909"/>
      <c r="C96" s="1911"/>
      <c r="D96" s="1911"/>
      <c r="E96" s="1911"/>
      <c r="F96" s="1911"/>
      <c r="G96" s="1911"/>
      <c r="H96" s="1910"/>
      <c r="I96" s="1898"/>
      <c r="J96" s="1893"/>
      <c r="K96" s="1893"/>
      <c r="L96" s="1893"/>
      <c r="M96" s="1893"/>
      <c r="N96" s="1872"/>
    </row>
    <row r="97" spans="1:14" ht="18" customHeight="1" x14ac:dyDescent="0.4">
      <c r="A97" s="4513"/>
      <c r="B97" s="1918"/>
      <c r="C97" s="1919" t="s">
        <v>116</v>
      </c>
      <c r="D97" s="1919"/>
      <c r="E97" s="1919"/>
      <c r="F97" s="1919"/>
      <c r="G97" s="1919"/>
      <c r="H97" s="1916"/>
      <c r="I97" s="1902"/>
      <c r="J97" s="4466">
        <f>SUM(J89,M91,J93)</f>
        <v>0</v>
      </c>
      <c r="K97" s="4467"/>
      <c r="L97" s="4467"/>
      <c r="M97" s="4468"/>
      <c r="N97" s="1885" t="s">
        <v>160</v>
      </c>
    </row>
    <row r="98" spans="1:14" ht="18" customHeight="1" x14ac:dyDescent="0.4">
      <c r="A98" s="4511" t="s">
        <v>141</v>
      </c>
      <c r="B98" s="1909"/>
      <c r="C98" s="1911"/>
      <c r="D98" s="1911"/>
      <c r="E98" s="1911"/>
      <c r="F98" s="1911"/>
      <c r="G98" s="1911"/>
      <c r="H98" s="1910"/>
      <c r="I98" s="1898"/>
      <c r="J98" s="1893"/>
      <c r="K98" s="1893"/>
      <c r="L98" s="1893"/>
      <c r="M98" s="1893"/>
      <c r="N98" s="1872"/>
    </row>
    <row r="99" spans="1:14" ht="18" customHeight="1" x14ac:dyDescent="0.35">
      <c r="A99" s="4512"/>
      <c r="B99" s="1909"/>
      <c r="C99" s="1911" t="s">
        <v>117</v>
      </c>
      <c r="D99" s="1911"/>
      <c r="E99" s="1911"/>
      <c r="F99" s="1911"/>
      <c r="G99" s="1911"/>
      <c r="H99" s="1910"/>
      <c r="I99" s="1898"/>
      <c r="J99" s="1897"/>
      <c r="K99" s="1897"/>
      <c r="L99" s="1897"/>
      <c r="M99" s="1897"/>
      <c r="N99" s="1872"/>
    </row>
    <row r="100" spans="1:14" ht="18" customHeight="1" x14ac:dyDescent="0.4">
      <c r="A100" s="4512"/>
      <c r="B100" s="1909"/>
      <c r="C100" s="1911"/>
      <c r="D100" s="1911"/>
      <c r="E100" s="1911"/>
      <c r="F100" s="1911"/>
      <c r="G100" s="1911"/>
      <c r="H100" s="1910"/>
      <c r="I100" s="1898"/>
      <c r="J100" s="1903"/>
      <c r="K100" s="1903"/>
      <c r="L100" s="1903"/>
      <c r="M100" s="1903"/>
      <c r="N100" s="1872"/>
    </row>
    <row r="101" spans="1:14" ht="18" customHeight="1" x14ac:dyDescent="0.4">
      <c r="A101" s="4512"/>
      <c r="B101" s="1909"/>
      <c r="C101" s="1911" t="s">
        <v>118</v>
      </c>
      <c r="D101" s="1911"/>
      <c r="E101" s="1911"/>
      <c r="F101" s="1911"/>
      <c r="G101" s="1911"/>
      <c r="H101" s="1910"/>
      <c r="I101" s="1898"/>
      <c r="J101" s="4504" t="str">
        <f>IF(J86&gt;J97,J86-J97,"")</f>
        <v/>
      </c>
      <c r="K101" s="4505"/>
      <c r="L101" s="4505"/>
      <c r="M101" s="4506"/>
      <c r="N101" s="1872" t="s">
        <v>161</v>
      </c>
    </row>
    <row r="102" spans="1:14" ht="18" customHeight="1" x14ac:dyDescent="0.4">
      <c r="A102" s="4512"/>
      <c r="B102" s="1909"/>
      <c r="C102" s="1911"/>
      <c r="D102" s="1911"/>
      <c r="E102" s="1911"/>
      <c r="F102" s="1911"/>
      <c r="G102" s="1911"/>
      <c r="H102" s="1910"/>
      <c r="I102" s="1898"/>
      <c r="J102" s="1920"/>
      <c r="K102" s="1920"/>
      <c r="L102" s="1920"/>
      <c r="M102" s="1920"/>
      <c r="N102" s="1872"/>
    </row>
    <row r="103" spans="1:14" ht="18" customHeight="1" x14ac:dyDescent="0.4">
      <c r="A103" s="4512"/>
      <c r="B103" s="1909"/>
      <c r="C103" s="1911" t="s">
        <v>150</v>
      </c>
      <c r="D103" s="1911"/>
      <c r="E103" s="1911"/>
      <c r="F103" s="1911"/>
      <c r="G103" s="1911"/>
      <c r="H103" s="1910"/>
      <c r="I103" s="1898"/>
      <c r="J103" s="4501" t="str">
        <f>IF(J97&gt;J86,J97-J86,"")</f>
        <v/>
      </c>
      <c r="K103" s="4502"/>
      <c r="L103" s="4502"/>
      <c r="M103" s="4503"/>
      <c r="N103" s="1872" t="s">
        <v>162</v>
      </c>
    </row>
    <row r="104" spans="1:14" ht="18" customHeight="1" x14ac:dyDescent="0.4">
      <c r="A104" s="4513"/>
      <c r="B104" s="1915"/>
      <c r="C104" s="1919"/>
      <c r="D104" s="1919"/>
      <c r="E104" s="1919"/>
      <c r="F104" s="1919"/>
      <c r="G104" s="1919"/>
      <c r="H104" s="1916"/>
      <c r="I104" s="1902"/>
      <c r="J104" s="1903"/>
      <c r="K104" s="1903"/>
      <c r="L104" s="1903"/>
      <c r="M104" s="1903"/>
      <c r="N104" s="1885"/>
    </row>
    <row r="105" spans="1:14" ht="18" customHeight="1" x14ac:dyDescent="0.4">
      <c r="A105" s="4516" t="s">
        <v>142</v>
      </c>
      <c r="B105" s="1921"/>
      <c r="C105" s="1922" t="s">
        <v>146</v>
      </c>
      <c r="D105" s="1922"/>
      <c r="E105" s="1922"/>
      <c r="F105" s="1922"/>
      <c r="G105" s="1922"/>
      <c r="H105" s="1905"/>
      <c r="I105" s="1923"/>
      <c r="J105" s="1907"/>
      <c r="K105" s="1907"/>
      <c r="L105" s="1907"/>
      <c r="M105" s="1907"/>
      <c r="N105" s="1908"/>
    </row>
    <row r="106" spans="1:14" ht="18" customHeight="1" x14ac:dyDescent="0.4">
      <c r="A106" s="4507"/>
      <c r="B106" s="1909"/>
      <c r="C106" s="1911"/>
      <c r="D106" s="1911"/>
      <c r="E106" s="1911"/>
      <c r="F106" s="1911"/>
      <c r="G106" s="1911"/>
      <c r="H106" s="1910"/>
      <c r="I106" s="1898"/>
      <c r="J106" s="1893"/>
      <c r="K106" s="1893"/>
      <c r="L106" s="1893"/>
      <c r="M106" s="1893"/>
      <c r="N106" s="1872"/>
    </row>
    <row r="107" spans="1:14" ht="18" customHeight="1" x14ac:dyDescent="0.4">
      <c r="A107" s="4507"/>
      <c r="B107" s="1909"/>
      <c r="C107" s="1911" t="s">
        <v>119</v>
      </c>
      <c r="D107" s="1911"/>
      <c r="E107" s="1911"/>
      <c r="F107" s="1911"/>
      <c r="G107" s="1911"/>
      <c r="H107" s="1910"/>
      <c r="I107" s="1898"/>
      <c r="J107" s="4466"/>
      <c r="K107" s="4467"/>
      <c r="L107" s="4467"/>
      <c r="M107" s="4468"/>
      <c r="N107" s="1872" t="s">
        <v>163</v>
      </c>
    </row>
    <row r="108" spans="1:14" ht="18" customHeight="1" x14ac:dyDescent="0.35">
      <c r="A108" s="4508"/>
      <c r="B108" s="1915"/>
      <c r="C108" s="1919"/>
      <c r="D108" s="1919"/>
      <c r="E108" s="1919"/>
      <c r="F108" s="1919"/>
      <c r="G108" s="1919"/>
      <c r="H108" s="1916"/>
      <c r="I108" s="1902"/>
      <c r="J108" s="1896"/>
      <c r="K108" s="1896"/>
      <c r="L108" s="1896"/>
      <c r="M108" s="1896"/>
      <c r="N108" s="1885"/>
    </row>
    <row r="109" spans="1:14" ht="18" customHeight="1" x14ac:dyDescent="0.35">
      <c r="A109" s="4507" t="s">
        <v>143</v>
      </c>
      <c r="B109" s="1909"/>
      <c r="C109" s="1911"/>
      <c r="D109" s="1911"/>
      <c r="E109" s="1911"/>
      <c r="F109" s="1911"/>
      <c r="G109" s="1911"/>
      <c r="H109" s="1910"/>
      <c r="I109" s="1898"/>
      <c r="J109" s="1871"/>
      <c r="K109" s="1871"/>
      <c r="L109" s="1871"/>
      <c r="M109" s="1871"/>
      <c r="N109" s="1872"/>
    </row>
    <row r="110" spans="1:14" ht="18" customHeight="1" x14ac:dyDescent="0.35">
      <c r="A110" s="4507"/>
      <c r="B110" s="1909"/>
      <c r="C110" s="1911" t="s">
        <v>120</v>
      </c>
      <c r="D110" s="1911"/>
      <c r="E110" s="1911"/>
      <c r="F110" s="1911"/>
      <c r="G110" s="1911"/>
      <c r="H110" s="1910"/>
      <c r="I110" s="1898"/>
      <c r="J110" s="1871"/>
      <c r="K110" s="1871"/>
      <c r="L110" s="1871"/>
      <c r="M110" s="1871"/>
      <c r="N110" s="1872"/>
    </row>
    <row r="111" spans="1:14" ht="18" customHeight="1" x14ac:dyDescent="0.35">
      <c r="A111" s="4507"/>
      <c r="B111" s="1909"/>
      <c r="C111" s="1911" t="s">
        <v>121</v>
      </c>
      <c r="D111" s="1911"/>
      <c r="E111" s="1911"/>
      <c r="F111" s="1911"/>
      <c r="G111" s="1911"/>
      <c r="H111" s="1910"/>
      <c r="I111" s="1898"/>
      <c r="J111" s="1871"/>
      <c r="K111" s="1871"/>
      <c r="L111" s="1871"/>
      <c r="M111" s="1871"/>
      <c r="N111" s="1872"/>
    </row>
    <row r="112" spans="1:14" ht="18" customHeight="1" x14ac:dyDescent="0.35">
      <c r="A112" s="4507"/>
      <c r="B112" s="1909"/>
      <c r="C112" s="1911"/>
      <c r="D112" s="1911"/>
      <c r="E112" s="1911"/>
      <c r="F112" s="1911"/>
      <c r="G112" s="1911"/>
      <c r="H112" s="1910"/>
      <c r="I112" s="1898"/>
      <c r="J112" s="1871"/>
      <c r="K112" s="1871"/>
      <c r="L112" s="1871"/>
      <c r="M112" s="1871"/>
      <c r="N112" s="1872"/>
    </row>
    <row r="113" spans="1:14" ht="18" customHeight="1" x14ac:dyDescent="0.35">
      <c r="A113" s="4507"/>
      <c r="B113" s="1909"/>
      <c r="C113" s="1911" t="s">
        <v>122</v>
      </c>
      <c r="D113" s="1911"/>
      <c r="E113" s="1911"/>
      <c r="F113" s="1911"/>
      <c r="G113" s="1911"/>
      <c r="H113" s="1910"/>
      <c r="I113" s="1898"/>
      <c r="J113" s="1871"/>
      <c r="K113" s="1871"/>
      <c r="L113" s="1871"/>
      <c r="M113" s="1874"/>
      <c r="N113" s="1872"/>
    </row>
    <row r="114" spans="1:14" ht="18" customHeight="1" x14ac:dyDescent="0.35">
      <c r="A114" s="4508"/>
      <c r="B114" s="1915"/>
      <c r="C114" s="1919"/>
      <c r="D114" s="1919"/>
      <c r="E114" s="1919"/>
      <c r="F114" s="1919"/>
      <c r="G114" s="1919"/>
      <c r="H114" s="1916"/>
      <c r="I114" s="1902"/>
      <c r="J114" s="1883"/>
      <c r="K114" s="1883"/>
      <c r="L114" s="1883"/>
      <c r="M114" s="1883"/>
      <c r="N114" s="1885"/>
    </row>
    <row r="115" spans="1:14" ht="18" customHeight="1" x14ac:dyDescent="0.35">
      <c r="A115" s="4511" t="s">
        <v>144</v>
      </c>
      <c r="B115" s="1909"/>
      <c r="C115" s="1911"/>
      <c r="D115" s="1911"/>
      <c r="E115" s="1911"/>
      <c r="F115" s="1911"/>
      <c r="G115" s="1911"/>
      <c r="H115" s="1910"/>
      <c r="I115" s="1898"/>
      <c r="J115" s="1871"/>
      <c r="K115" s="1871"/>
      <c r="L115" s="1871"/>
      <c r="M115" s="1871"/>
      <c r="N115" s="1872"/>
    </row>
    <row r="116" spans="1:14" ht="18" customHeight="1" x14ac:dyDescent="0.35">
      <c r="A116" s="4514"/>
      <c r="B116" s="1909"/>
      <c r="C116" s="1911" t="s">
        <v>123</v>
      </c>
      <c r="D116" s="1911"/>
      <c r="E116" s="1911"/>
      <c r="F116" s="1911"/>
      <c r="G116" s="1911"/>
      <c r="H116" s="1910"/>
      <c r="I116" s="1898"/>
      <c r="J116" s="1912" t="s">
        <v>126</v>
      </c>
      <c r="K116" s="4483"/>
      <c r="L116" s="4484"/>
      <c r="M116" s="1871"/>
      <c r="N116" s="1872"/>
    </row>
    <row r="117" spans="1:14" ht="18" customHeight="1" x14ac:dyDescent="0.35">
      <c r="A117" s="4514"/>
      <c r="B117" s="1909"/>
      <c r="C117" s="1911" t="s">
        <v>124</v>
      </c>
      <c r="D117" s="1911"/>
      <c r="E117" s="1911"/>
      <c r="F117" s="1911"/>
      <c r="G117" s="1911"/>
      <c r="H117" s="1910"/>
      <c r="I117" s="1898"/>
      <c r="J117" s="1912"/>
      <c r="K117" s="1871"/>
      <c r="L117" s="1871"/>
      <c r="M117" s="1871"/>
      <c r="N117" s="1872"/>
    </row>
    <row r="118" spans="1:14" ht="18" customHeight="1" x14ac:dyDescent="0.35">
      <c r="A118" s="4514"/>
      <c r="B118" s="1909"/>
      <c r="C118" s="1911" t="s">
        <v>125</v>
      </c>
      <c r="D118" s="1911"/>
      <c r="E118" s="1911"/>
      <c r="F118" s="1911"/>
      <c r="G118" s="1911"/>
      <c r="H118" s="1910"/>
      <c r="I118" s="1898"/>
      <c r="J118" s="1912" t="s">
        <v>127</v>
      </c>
      <c r="K118" s="1871"/>
      <c r="L118" s="1871"/>
      <c r="M118" s="1871"/>
      <c r="N118" s="1872"/>
    </row>
    <row r="119" spans="1:14" ht="18" customHeight="1" x14ac:dyDescent="0.35">
      <c r="A119" s="4514"/>
      <c r="B119" s="1909"/>
      <c r="C119" s="1924"/>
      <c r="D119" s="1905"/>
      <c r="E119" s="1905"/>
      <c r="F119" s="1905"/>
      <c r="G119" s="1905"/>
      <c r="H119" s="1925"/>
      <c r="I119" s="1898"/>
      <c r="J119" s="1926"/>
      <c r="K119" s="1867"/>
      <c r="L119" s="1867"/>
      <c r="M119" s="1927"/>
      <c r="N119" s="1872"/>
    </row>
    <row r="120" spans="1:14" ht="18" customHeight="1" x14ac:dyDescent="0.35">
      <c r="A120" s="4514"/>
      <c r="B120" s="1909"/>
      <c r="C120" s="1928"/>
      <c r="D120" s="1910"/>
      <c r="E120" s="1910"/>
      <c r="F120" s="1910"/>
      <c r="G120" s="1910"/>
      <c r="H120" s="1929"/>
      <c r="I120" s="1898"/>
      <c r="J120" s="1930"/>
      <c r="K120" s="1871"/>
      <c r="L120" s="1871"/>
      <c r="M120" s="1931"/>
      <c r="N120" s="1872"/>
    </row>
    <row r="121" spans="1:14" ht="18" customHeight="1" x14ac:dyDescent="0.35">
      <c r="A121" s="4514"/>
      <c r="B121" s="1909"/>
      <c r="C121" s="1928"/>
      <c r="D121" s="1910"/>
      <c r="E121" s="1910"/>
      <c r="F121" s="1910"/>
      <c r="G121" s="1910"/>
      <c r="H121" s="1929"/>
      <c r="I121" s="1898"/>
      <c r="J121" s="1930"/>
      <c r="K121" s="1871"/>
      <c r="L121" s="1871"/>
      <c r="M121" s="1931"/>
      <c r="N121" s="1872"/>
    </row>
    <row r="122" spans="1:14" ht="18" customHeight="1" x14ac:dyDescent="0.35">
      <c r="A122" s="4514"/>
      <c r="B122" s="1909"/>
      <c r="C122" s="1932"/>
      <c r="D122" s="1916"/>
      <c r="E122" s="1916"/>
      <c r="F122" s="1916"/>
      <c r="G122" s="1916"/>
      <c r="H122" s="1933"/>
      <c r="I122" s="1898"/>
      <c r="J122" s="1934"/>
      <c r="K122" s="1883"/>
      <c r="L122" s="1883"/>
      <c r="M122" s="1935"/>
      <c r="N122" s="1872"/>
    </row>
    <row r="123" spans="1:14" ht="18" customHeight="1" x14ac:dyDescent="0.35">
      <c r="A123" s="4515"/>
      <c r="B123" s="1915"/>
      <c r="C123" s="1916"/>
      <c r="D123" s="1916"/>
      <c r="E123" s="1916"/>
      <c r="F123" s="1916"/>
      <c r="G123" s="1916"/>
      <c r="H123" s="1916"/>
      <c r="I123" s="1902"/>
      <c r="J123" s="1883"/>
      <c r="K123" s="1883"/>
      <c r="L123" s="1883"/>
      <c r="M123" s="1883"/>
      <c r="N123" s="1885"/>
    </row>
    <row r="124" spans="1:14" ht="18" customHeight="1" x14ac:dyDescent="0.35">
      <c r="A124" s="4509" t="s">
        <v>145</v>
      </c>
      <c r="B124" s="1909"/>
      <c r="C124" s="1911" t="s">
        <v>128</v>
      </c>
      <c r="D124" s="1911"/>
      <c r="E124" s="1911"/>
      <c r="F124" s="1911"/>
      <c r="G124" s="1911"/>
      <c r="H124" s="1911"/>
      <c r="I124" s="1898"/>
      <c r="J124" s="1871"/>
      <c r="K124" s="1871"/>
      <c r="L124" s="1871"/>
      <c r="M124" s="1871"/>
      <c r="N124" s="1872"/>
    </row>
    <row r="125" spans="1:14" ht="18" customHeight="1" x14ac:dyDescent="0.35">
      <c r="A125" s="4509"/>
      <c r="B125" s="1909"/>
      <c r="C125" s="1936" t="s">
        <v>130</v>
      </c>
      <c r="D125" s="1911"/>
      <c r="E125" s="1911" t="s">
        <v>131</v>
      </c>
      <c r="F125" s="1911" t="s">
        <v>132</v>
      </c>
      <c r="G125" s="4486" t="s">
        <v>133</v>
      </c>
      <c r="H125" s="4486"/>
      <c r="I125" s="1898"/>
      <c r="J125" s="1871"/>
      <c r="K125" s="1871"/>
      <c r="L125" s="1871"/>
      <c r="M125" s="1871"/>
      <c r="N125" s="1872"/>
    </row>
    <row r="126" spans="1:14" ht="18" customHeight="1" x14ac:dyDescent="0.35">
      <c r="A126" s="4509"/>
      <c r="B126" s="1937" t="s">
        <v>129</v>
      </c>
      <c r="C126" s="1938" t="s">
        <v>32</v>
      </c>
      <c r="D126" s="1911"/>
      <c r="E126" s="1913"/>
      <c r="F126" s="1913"/>
      <c r="G126" s="4517"/>
      <c r="H126" s="4518"/>
      <c r="I126" s="1898"/>
      <c r="J126" s="4483"/>
      <c r="K126" s="4485"/>
      <c r="L126" s="4485"/>
      <c r="M126" s="4484"/>
      <c r="N126" s="1872"/>
    </row>
    <row r="127" spans="1:14" ht="18" customHeight="1" x14ac:dyDescent="0.35">
      <c r="A127" s="4509"/>
      <c r="B127" s="1937" t="s">
        <v>134</v>
      </c>
      <c r="C127" s="1913"/>
      <c r="D127" s="1911"/>
      <c r="E127" s="1913" t="s">
        <v>135</v>
      </c>
      <c r="F127" s="1913"/>
      <c r="G127" s="4517"/>
      <c r="H127" s="4518"/>
      <c r="I127" s="1898"/>
      <c r="J127" s="1871"/>
      <c r="K127" s="1871"/>
      <c r="L127" s="1871"/>
      <c r="M127" s="1871"/>
      <c r="N127" s="1872"/>
    </row>
    <row r="128" spans="1:14" ht="18" customHeight="1" x14ac:dyDescent="0.35">
      <c r="A128" s="4510"/>
      <c r="B128" s="1915"/>
      <c r="C128" s="1939" t="s">
        <v>136</v>
      </c>
      <c r="D128" s="1940"/>
      <c r="E128" s="1939" t="s">
        <v>137</v>
      </c>
      <c r="F128" s="4519" t="s">
        <v>138</v>
      </c>
      <c r="G128" s="4519"/>
      <c r="H128" s="4519"/>
      <c r="I128" s="1902"/>
      <c r="J128" s="1883"/>
      <c r="K128" s="1883"/>
      <c r="L128" s="1883"/>
      <c r="M128" s="1883"/>
      <c r="N128" s="1885"/>
    </row>
    <row r="129" spans="1:9" x14ac:dyDescent="0.35">
      <c r="A129" s="1873"/>
      <c r="B129" s="1941"/>
      <c r="C129" s="1873"/>
      <c r="D129" s="1873"/>
      <c r="E129" s="1873"/>
      <c r="F129" s="1873"/>
      <c r="G129" s="1873"/>
      <c r="H129" s="1873"/>
      <c r="I129" s="1942"/>
    </row>
  </sheetData>
  <mergeCells count="80">
    <mergeCell ref="J79:M79"/>
    <mergeCell ref="J81:M81"/>
    <mergeCell ref="J86:M86"/>
    <mergeCell ref="J69:M69"/>
    <mergeCell ref="J73:M73"/>
    <mergeCell ref="J71:M71"/>
    <mergeCell ref="J76:M76"/>
    <mergeCell ref="C48:G48"/>
    <mergeCell ref="A109:A114"/>
    <mergeCell ref="A124:A128"/>
    <mergeCell ref="A88:A97"/>
    <mergeCell ref="A98:A104"/>
    <mergeCell ref="A115:A123"/>
    <mergeCell ref="A105:A108"/>
    <mergeCell ref="G127:H127"/>
    <mergeCell ref="G126:H126"/>
    <mergeCell ref="F128:H128"/>
    <mergeCell ref="A65:A87"/>
    <mergeCell ref="C63:H63"/>
    <mergeCell ref="A39:A64"/>
    <mergeCell ref="C41:H41"/>
    <mergeCell ref="C43:H43"/>
    <mergeCell ref="C44:H44"/>
    <mergeCell ref="J107:M107"/>
    <mergeCell ref="J84:M84"/>
    <mergeCell ref="J93:M93"/>
    <mergeCell ref="J97:M97"/>
    <mergeCell ref="J91:M91"/>
    <mergeCell ref="J89:M89"/>
    <mergeCell ref="J95:M95"/>
    <mergeCell ref="J103:M103"/>
    <mergeCell ref="J101:M101"/>
    <mergeCell ref="K116:L116"/>
    <mergeCell ref="J126:M126"/>
    <mergeCell ref="G125:H125"/>
    <mergeCell ref="I1:N1"/>
    <mergeCell ref="B8:G8"/>
    <mergeCell ref="I7:J7"/>
    <mergeCell ref="I8:K8"/>
    <mergeCell ref="J63:M63"/>
    <mergeCell ref="J60:M60"/>
    <mergeCell ref="J58:M58"/>
    <mergeCell ref="J55:M55"/>
    <mergeCell ref="J53:M53"/>
    <mergeCell ref="J48:M48"/>
    <mergeCell ref="C50:H50"/>
    <mergeCell ref="C51:H51"/>
    <mergeCell ref="C53:H53"/>
    <mergeCell ref="J13:M13"/>
    <mergeCell ref="J29:M29"/>
    <mergeCell ref="C37:H37"/>
    <mergeCell ref="A1:A9"/>
    <mergeCell ref="A10:A38"/>
    <mergeCell ref="D15:E15"/>
    <mergeCell ref="D17:E17"/>
    <mergeCell ref="C19:H19"/>
    <mergeCell ref="C20:H20"/>
    <mergeCell ref="C10:H10"/>
    <mergeCell ref="C12:H12"/>
    <mergeCell ref="D13:H13"/>
    <mergeCell ref="B2:H2"/>
    <mergeCell ref="B3:H3"/>
    <mergeCell ref="B4:H4"/>
    <mergeCell ref="B5:H5"/>
    <mergeCell ref="B6:H6"/>
    <mergeCell ref="C23:H23"/>
    <mergeCell ref="C35:H35"/>
    <mergeCell ref="B7:E7"/>
    <mergeCell ref="C22:H22"/>
    <mergeCell ref="J17:M17"/>
    <mergeCell ref="J15:M15"/>
    <mergeCell ref="J20:M20"/>
    <mergeCell ref="J26:M26"/>
    <mergeCell ref="J44:M44"/>
    <mergeCell ref="C40:H40"/>
    <mergeCell ref="J46:M46"/>
    <mergeCell ref="J23:M23"/>
    <mergeCell ref="J37:M37"/>
    <mergeCell ref="J35:M35"/>
    <mergeCell ref="C46:G46"/>
  </mergeCells>
  <pageMargins left="0.7" right="0.7" top="0.75" bottom="0.75" header="0.3" footer="0.3"/>
  <pageSetup paperSize="9" scale="65" fitToWidth="0" fitToHeight="0" orientation="portrait" horizontalDpi="30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G24"/>
  <sheetViews>
    <sheetView workbookViewId="0">
      <selection activeCell="A17" sqref="A17"/>
    </sheetView>
  </sheetViews>
  <sheetFormatPr baseColWidth="10" defaultColWidth="11.44140625" defaultRowHeight="13.8" x14ac:dyDescent="0.25"/>
  <cols>
    <col min="1" max="1" width="40.88671875" style="141" customWidth="1"/>
    <col min="2" max="2" width="50.33203125" style="141" customWidth="1"/>
    <col min="3" max="3" width="54.33203125" style="141" customWidth="1"/>
    <col min="4" max="4" width="51.6640625" style="141" customWidth="1"/>
    <col min="5" max="5" width="39.44140625" style="141" customWidth="1"/>
    <col min="6" max="6" width="40.33203125" style="141" customWidth="1"/>
    <col min="7" max="7" width="40.5546875" style="141" customWidth="1"/>
    <col min="8" max="8" width="27.109375" style="141" customWidth="1"/>
    <col min="9" max="16384" width="11.44140625" style="141"/>
  </cols>
  <sheetData>
    <row r="1" spans="1:7" ht="15.6" x14ac:dyDescent="0.25">
      <c r="A1" s="153" t="s">
        <v>1856</v>
      </c>
      <c r="B1" s="153" t="s">
        <v>1857</v>
      </c>
      <c r="C1" s="153" t="s">
        <v>1858</v>
      </c>
      <c r="D1" s="153" t="s">
        <v>1859</v>
      </c>
      <c r="E1" s="153" t="s">
        <v>1860</v>
      </c>
      <c r="F1" s="153" t="s">
        <v>1861</v>
      </c>
      <c r="G1" s="153" t="s">
        <v>1862</v>
      </c>
    </row>
    <row r="2" spans="1:7" ht="15.6" x14ac:dyDescent="0.25">
      <c r="A2" s="141" t="s">
        <v>1949</v>
      </c>
      <c r="B2" s="1729" t="s">
        <v>2174</v>
      </c>
      <c r="C2" s="141" t="s">
        <v>1952</v>
      </c>
      <c r="D2" s="141" t="s">
        <v>2328</v>
      </c>
      <c r="E2" s="141" t="s">
        <v>1603</v>
      </c>
      <c r="F2" s="141" t="s">
        <v>1844</v>
      </c>
      <c r="G2" s="141" t="s">
        <v>1850</v>
      </c>
    </row>
    <row r="3" spans="1:7" x14ac:dyDescent="0.25">
      <c r="A3" s="140" t="s">
        <v>1950</v>
      </c>
      <c r="B3" s="141" t="s">
        <v>1944</v>
      </c>
      <c r="D3" s="141" t="s">
        <v>1606</v>
      </c>
      <c r="E3" s="141" t="s">
        <v>1604</v>
      </c>
      <c r="F3" s="141" t="s">
        <v>1845</v>
      </c>
      <c r="G3" s="141" t="s">
        <v>1851</v>
      </c>
    </row>
    <row r="4" spans="1:7" x14ac:dyDescent="0.25">
      <c r="A4" s="141" t="s">
        <v>1951</v>
      </c>
      <c r="B4" s="141" t="s">
        <v>1945</v>
      </c>
      <c r="D4" s="141" t="s">
        <v>2005</v>
      </c>
      <c r="E4" s="141" t="s">
        <v>1605</v>
      </c>
      <c r="F4" s="141" t="s">
        <v>1846</v>
      </c>
      <c r="G4" s="141" t="s">
        <v>1852</v>
      </c>
    </row>
    <row r="5" spans="1:7" x14ac:dyDescent="0.25">
      <c r="A5" s="2457" t="s">
        <v>2289</v>
      </c>
      <c r="B5" s="141" t="s">
        <v>1946</v>
      </c>
      <c r="D5" s="141" t="s">
        <v>1829</v>
      </c>
      <c r="F5" s="141" t="s">
        <v>1847</v>
      </c>
      <c r="G5" s="141" t="s">
        <v>1853</v>
      </c>
    </row>
    <row r="6" spans="1:7" ht="15.6" x14ac:dyDescent="0.3">
      <c r="A6" s="2458"/>
      <c r="B6" s="141" t="s">
        <v>1947</v>
      </c>
      <c r="D6" s="141" t="s">
        <v>1595</v>
      </c>
      <c r="F6" s="141" t="s">
        <v>1598</v>
      </c>
      <c r="G6" s="141" t="s">
        <v>1854</v>
      </c>
    </row>
    <row r="7" spans="1:7" x14ac:dyDescent="0.25">
      <c r="B7" s="141" t="s">
        <v>1948</v>
      </c>
      <c r="D7" s="141" t="s">
        <v>1596</v>
      </c>
      <c r="F7" s="141" t="s">
        <v>1848</v>
      </c>
      <c r="G7" s="141" t="s">
        <v>1855</v>
      </c>
    </row>
    <row r="8" spans="1:7" x14ac:dyDescent="0.25">
      <c r="B8" s="141" t="s">
        <v>2329</v>
      </c>
      <c r="D8" s="141" t="s">
        <v>1612</v>
      </c>
      <c r="F8" s="141" t="s">
        <v>1849</v>
      </c>
      <c r="G8" s="141" t="s">
        <v>2043</v>
      </c>
    </row>
    <row r="9" spans="1:7" x14ac:dyDescent="0.25">
      <c r="D9" s="141" t="s">
        <v>1830</v>
      </c>
      <c r="G9" s="141" t="s">
        <v>2044</v>
      </c>
    </row>
    <row r="10" spans="1:7" x14ac:dyDescent="0.25">
      <c r="D10" s="141" t="s">
        <v>1831</v>
      </c>
      <c r="F10" s="478"/>
    </row>
    <row r="11" spans="1:7" x14ac:dyDescent="0.25">
      <c r="D11" s="141" t="s">
        <v>1832</v>
      </c>
      <c r="G11" s="141" t="s">
        <v>2045</v>
      </c>
    </row>
    <row r="12" spans="1:7" x14ac:dyDescent="0.25">
      <c r="D12" s="141" t="s">
        <v>2004</v>
      </c>
      <c r="G12" s="141" t="s">
        <v>2046</v>
      </c>
    </row>
    <row r="13" spans="1:7" x14ac:dyDescent="0.25">
      <c r="D13" s="141" t="s">
        <v>1833</v>
      </c>
    </row>
    <row r="14" spans="1:7" x14ac:dyDescent="0.25">
      <c r="D14" s="141" t="s">
        <v>1834</v>
      </c>
    </row>
    <row r="19" spans="1:6" x14ac:dyDescent="0.25">
      <c r="A19" s="192" t="s">
        <v>1425</v>
      </c>
      <c r="C19" s="7"/>
      <c r="D19" s="7"/>
      <c r="E19" s="7"/>
      <c r="F19" s="3"/>
    </row>
    <row r="20" spans="1:6" x14ac:dyDescent="0.25">
      <c r="A20" s="192"/>
      <c r="B20" s="3"/>
      <c r="C20" s="7"/>
      <c r="D20" s="7"/>
      <c r="E20" s="7"/>
      <c r="F20" s="3"/>
    </row>
    <row r="21" spans="1:6" x14ac:dyDescent="0.25">
      <c r="A21" s="192" t="s">
        <v>1424</v>
      </c>
      <c r="B21" s="3" t="s">
        <v>1835</v>
      </c>
      <c r="C21" s="135"/>
      <c r="D21" s="135"/>
      <c r="E21" s="135"/>
      <c r="F21" s="3"/>
    </row>
    <row r="22" spans="1:6" x14ac:dyDescent="0.25">
      <c r="A22" s="192"/>
      <c r="B22" s="3"/>
      <c r="C22" s="135"/>
      <c r="D22" s="135"/>
      <c r="E22" s="135"/>
      <c r="F22" s="3"/>
    </row>
    <row r="23" spans="1:6" x14ac:dyDescent="0.25">
      <c r="A23" s="192" t="s">
        <v>1837</v>
      </c>
      <c r="B23" s="3" t="s">
        <v>1836</v>
      </c>
      <c r="C23" s="135"/>
      <c r="D23" s="135"/>
      <c r="E23" s="135"/>
      <c r="F23" s="3"/>
    </row>
    <row r="24" spans="1:6" x14ac:dyDescent="0.25">
      <c r="B24" s="3"/>
    </row>
  </sheetData>
  <pageMargins left="0.7" right="0.7" top="0.75" bottom="0.75" header="0.3" footer="0.3"/>
  <pageSetup paperSize="9" orientation="portrait" horizontalDpi="30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</sheetPr>
  <dimension ref="A1:H811"/>
  <sheetViews>
    <sheetView topLeftCell="B136" zoomScale="115" zoomScaleNormal="115" workbookViewId="0">
      <selection activeCell="N94" sqref="N94"/>
    </sheetView>
  </sheetViews>
  <sheetFormatPr baseColWidth="10" defaultColWidth="11.44140625" defaultRowHeight="13.8" x14ac:dyDescent="0.25"/>
  <cols>
    <col min="1" max="1" width="92.44140625" style="141" customWidth="1"/>
    <col min="2" max="2" width="136.6640625" style="141" bestFit="1" customWidth="1"/>
    <col min="3" max="3" width="125.33203125" style="140" customWidth="1"/>
    <col min="4" max="4" width="97.6640625" style="141" bestFit="1" customWidth="1"/>
    <col min="5" max="5" width="96.6640625" style="141" bestFit="1" customWidth="1"/>
    <col min="6" max="6" width="111.44140625" style="141" bestFit="1" customWidth="1"/>
    <col min="7" max="7" width="126" style="141" bestFit="1" customWidth="1"/>
    <col min="8" max="16384" width="11.44140625" style="141"/>
  </cols>
  <sheetData>
    <row r="1" spans="1:8" ht="15.6" x14ac:dyDescent="0.25">
      <c r="A1" s="153" t="s">
        <v>1344</v>
      </c>
      <c r="B1" s="153" t="s">
        <v>1343</v>
      </c>
      <c r="C1" s="153" t="s">
        <v>1342</v>
      </c>
      <c r="D1" s="153" t="s">
        <v>1341</v>
      </c>
      <c r="E1" s="153" t="s">
        <v>1340</v>
      </c>
      <c r="F1" s="153" t="s">
        <v>1339</v>
      </c>
      <c r="G1" s="153" t="s">
        <v>1338</v>
      </c>
      <c r="H1" s="152" t="s">
        <v>1337</v>
      </c>
    </row>
    <row r="2" spans="1:8" x14ac:dyDescent="0.25">
      <c r="A2" s="140" t="s">
        <v>1336</v>
      </c>
      <c r="B2" s="140" t="s">
        <v>1335</v>
      </c>
      <c r="C2" s="140" t="s">
        <v>1334</v>
      </c>
      <c r="D2" s="140" t="s">
        <v>1333</v>
      </c>
      <c r="E2" s="140" t="s">
        <v>1332</v>
      </c>
      <c r="F2" s="140" t="s">
        <v>1331</v>
      </c>
      <c r="G2" s="140" t="s">
        <v>1330</v>
      </c>
    </row>
    <row r="3" spans="1:8" x14ac:dyDescent="0.25">
      <c r="A3" s="140" t="s">
        <v>1329</v>
      </c>
      <c r="B3" s="149" t="s">
        <v>1328</v>
      </c>
      <c r="C3" s="149" t="s">
        <v>1327</v>
      </c>
      <c r="D3" s="149" t="s">
        <v>1326</v>
      </c>
      <c r="E3" s="149" t="s">
        <v>1325</v>
      </c>
      <c r="F3" s="149" t="s">
        <v>1324</v>
      </c>
      <c r="G3" s="149" t="s">
        <v>1323</v>
      </c>
    </row>
    <row r="4" spans="1:8" x14ac:dyDescent="0.25">
      <c r="A4" s="150" t="s">
        <v>1322</v>
      </c>
      <c r="B4" s="150" t="s">
        <v>1321</v>
      </c>
      <c r="C4" s="149" t="s">
        <v>1320</v>
      </c>
      <c r="D4" s="149" t="s">
        <v>1319</v>
      </c>
      <c r="E4" s="149" t="s">
        <v>1318</v>
      </c>
      <c r="F4" s="150" t="s">
        <v>1317</v>
      </c>
      <c r="G4" s="150" t="s">
        <v>1316</v>
      </c>
    </row>
    <row r="5" spans="1:8" x14ac:dyDescent="0.25">
      <c r="A5" s="150" t="s">
        <v>1315</v>
      </c>
      <c r="B5" s="150" t="s">
        <v>1314</v>
      </c>
      <c r="C5" s="149" t="s">
        <v>1313</v>
      </c>
      <c r="D5" s="150" t="s">
        <v>1312</v>
      </c>
      <c r="E5" s="150" t="s">
        <v>1311</v>
      </c>
      <c r="F5" s="150" t="s">
        <v>1310</v>
      </c>
      <c r="G5" s="150" t="s">
        <v>1309</v>
      </c>
    </row>
    <row r="6" spans="1:8" x14ac:dyDescent="0.25">
      <c r="A6" s="150" t="s">
        <v>1308</v>
      </c>
      <c r="B6" s="150" t="s">
        <v>1307</v>
      </c>
      <c r="C6" s="140" t="s">
        <v>1306</v>
      </c>
      <c r="D6" s="150" t="s">
        <v>1305</v>
      </c>
      <c r="E6" s="150" t="s">
        <v>1304</v>
      </c>
      <c r="F6" s="150" t="s">
        <v>1303</v>
      </c>
      <c r="G6" s="149" t="s">
        <v>1302</v>
      </c>
    </row>
    <row r="7" spans="1:8" x14ac:dyDescent="0.25">
      <c r="A7" s="150" t="s">
        <v>1301</v>
      </c>
      <c r="B7" s="150" t="s">
        <v>1300</v>
      </c>
      <c r="C7" s="149" t="s">
        <v>1299</v>
      </c>
      <c r="D7" s="149" t="s">
        <v>1298</v>
      </c>
      <c r="E7" s="149" t="s">
        <v>1297</v>
      </c>
      <c r="F7" s="149" t="s">
        <v>1296</v>
      </c>
      <c r="G7" s="149" t="s">
        <v>1295</v>
      </c>
    </row>
    <row r="8" spans="1:8" x14ac:dyDescent="0.25">
      <c r="A8" s="150" t="s">
        <v>1294</v>
      </c>
      <c r="B8" s="150" t="s">
        <v>1293</v>
      </c>
      <c r="C8" s="150" t="s">
        <v>1292</v>
      </c>
      <c r="D8" s="149" t="s">
        <v>1291</v>
      </c>
      <c r="E8" s="150" t="s">
        <v>1290</v>
      </c>
      <c r="F8" s="150" t="s">
        <v>1289</v>
      </c>
      <c r="G8" s="149" t="s">
        <v>1288</v>
      </c>
    </row>
    <row r="9" spans="1:8" x14ac:dyDescent="0.25">
      <c r="A9" s="150" t="s">
        <v>1287</v>
      </c>
      <c r="B9" s="149" t="s">
        <v>1286</v>
      </c>
      <c r="C9" s="150" t="s">
        <v>1285</v>
      </c>
      <c r="D9" s="150" t="s">
        <v>1284</v>
      </c>
      <c r="E9" s="150" t="s">
        <v>1283</v>
      </c>
      <c r="F9" s="150" t="s">
        <v>1282</v>
      </c>
      <c r="G9" s="150" t="s">
        <v>1281</v>
      </c>
    </row>
    <row r="10" spans="1:8" x14ac:dyDescent="0.25">
      <c r="A10" s="149" t="s">
        <v>1280</v>
      </c>
      <c r="B10" s="149" t="s">
        <v>1279</v>
      </c>
      <c r="C10" s="149" t="s">
        <v>1278</v>
      </c>
      <c r="D10" s="150" t="s">
        <v>1277</v>
      </c>
      <c r="E10" s="149" t="s">
        <v>1276</v>
      </c>
      <c r="F10" s="150" t="s">
        <v>1275</v>
      </c>
      <c r="G10" s="150" t="s">
        <v>1274</v>
      </c>
    </row>
    <row r="11" spans="1:8" x14ac:dyDescent="0.25">
      <c r="A11" s="140" t="s">
        <v>1273</v>
      </c>
      <c r="B11" s="149" t="s">
        <v>1272</v>
      </c>
      <c r="C11" s="150" t="s">
        <v>1271</v>
      </c>
      <c r="D11" s="149" t="s">
        <v>1270</v>
      </c>
      <c r="E11" s="149" t="s">
        <v>1269</v>
      </c>
      <c r="F11" s="150" t="s">
        <v>1268</v>
      </c>
      <c r="G11" s="149" t="s">
        <v>1267</v>
      </c>
    </row>
    <row r="12" spans="1:8" x14ac:dyDescent="0.25">
      <c r="A12" s="150" t="s">
        <v>1266</v>
      </c>
      <c r="B12" s="149" t="s">
        <v>1265</v>
      </c>
      <c r="C12" s="150" t="s">
        <v>1264</v>
      </c>
      <c r="D12" s="149" t="s">
        <v>1263</v>
      </c>
      <c r="E12" s="149" t="s">
        <v>1262</v>
      </c>
      <c r="F12" s="150" t="s">
        <v>1261</v>
      </c>
      <c r="G12" s="149" t="s">
        <v>1260</v>
      </c>
    </row>
    <row r="13" spans="1:8" x14ac:dyDescent="0.25">
      <c r="A13" s="150" t="s">
        <v>1259</v>
      </c>
      <c r="B13" s="150" t="s">
        <v>1258</v>
      </c>
      <c r="C13" s="150" t="s">
        <v>1257</v>
      </c>
      <c r="D13" s="150" t="s">
        <v>1256</v>
      </c>
      <c r="E13" s="150" t="s">
        <v>1255</v>
      </c>
      <c r="F13" s="150" t="s">
        <v>1254</v>
      </c>
      <c r="G13" s="149" t="s">
        <v>1253</v>
      </c>
    </row>
    <row r="14" spans="1:8" x14ac:dyDescent="0.25">
      <c r="A14" s="150" t="s">
        <v>1252</v>
      </c>
      <c r="B14" s="149" t="s">
        <v>1251</v>
      </c>
      <c r="C14" s="150" t="s">
        <v>1250</v>
      </c>
      <c r="D14" s="150" t="s">
        <v>1249</v>
      </c>
      <c r="E14" s="150" t="s">
        <v>1248</v>
      </c>
      <c r="F14" s="150" t="s">
        <v>1247</v>
      </c>
      <c r="G14" s="150" t="s">
        <v>1246</v>
      </c>
    </row>
    <row r="15" spans="1:8" x14ac:dyDescent="0.25">
      <c r="A15" s="150" t="s">
        <v>1245</v>
      </c>
      <c r="B15" s="140" t="s">
        <v>1244</v>
      </c>
      <c r="C15" s="150" t="s">
        <v>1243</v>
      </c>
      <c r="D15" s="150" t="s">
        <v>1242</v>
      </c>
      <c r="E15" s="149" t="s">
        <v>1241</v>
      </c>
      <c r="F15" s="150" t="s">
        <v>1240</v>
      </c>
      <c r="G15" s="150" t="s">
        <v>1239</v>
      </c>
    </row>
    <row r="16" spans="1:8" x14ac:dyDescent="0.25">
      <c r="A16" s="150" t="s">
        <v>1238</v>
      </c>
      <c r="B16" s="149" t="s">
        <v>1237</v>
      </c>
      <c r="C16" s="149" t="s">
        <v>1236</v>
      </c>
      <c r="D16" s="149" t="s">
        <v>1235</v>
      </c>
      <c r="E16" s="149" t="s">
        <v>1234</v>
      </c>
      <c r="F16" s="150" t="s">
        <v>1233</v>
      </c>
      <c r="G16" s="149" t="s">
        <v>1232</v>
      </c>
    </row>
    <row r="17" spans="1:7" x14ac:dyDescent="0.25">
      <c r="A17" s="140" t="s">
        <v>1231</v>
      </c>
      <c r="B17" s="150" t="s">
        <v>1230</v>
      </c>
      <c r="C17" s="150" t="s">
        <v>1229</v>
      </c>
      <c r="D17" s="150" t="s">
        <v>1228</v>
      </c>
      <c r="E17" s="150" t="s">
        <v>1227</v>
      </c>
      <c r="F17" s="150" t="s">
        <v>1226</v>
      </c>
      <c r="G17" s="150" t="s">
        <v>1225</v>
      </c>
    </row>
    <row r="18" spans="1:7" x14ac:dyDescent="0.25">
      <c r="A18" s="150" t="s">
        <v>1224</v>
      </c>
      <c r="B18" s="150" t="s">
        <v>1223</v>
      </c>
      <c r="C18" s="150" t="s">
        <v>1222</v>
      </c>
      <c r="D18" s="150" t="s">
        <v>1221</v>
      </c>
      <c r="E18" s="150" t="s">
        <v>1220</v>
      </c>
      <c r="F18" s="150" t="s">
        <v>1219</v>
      </c>
      <c r="G18" s="150" t="s">
        <v>1218</v>
      </c>
    </row>
    <row r="19" spans="1:7" x14ac:dyDescent="0.25">
      <c r="A19" s="150" t="s">
        <v>1217</v>
      </c>
      <c r="B19" s="150" t="s">
        <v>1216</v>
      </c>
      <c r="C19" s="150" t="s">
        <v>1215</v>
      </c>
      <c r="D19" s="150" t="s">
        <v>1214</v>
      </c>
      <c r="E19" s="150" t="s">
        <v>1213</v>
      </c>
      <c r="F19" s="150" t="s">
        <v>1212</v>
      </c>
      <c r="G19" s="150" t="s">
        <v>1211</v>
      </c>
    </row>
    <row r="20" spans="1:7" x14ac:dyDescent="0.25">
      <c r="A20" s="150" t="s">
        <v>1210</v>
      </c>
      <c r="B20" s="150" t="s">
        <v>1209</v>
      </c>
      <c r="C20" s="140" t="s">
        <v>1208</v>
      </c>
      <c r="D20" s="150" t="s">
        <v>1207</v>
      </c>
      <c r="E20" s="149" t="s">
        <v>1206</v>
      </c>
      <c r="F20" s="150" t="s">
        <v>1205</v>
      </c>
      <c r="G20" s="150" t="s">
        <v>1204</v>
      </c>
    </row>
    <row r="21" spans="1:7" x14ac:dyDescent="0.25">
      <c r="A21" s="150" t="s">
        <v>1203</v>
      </c>
      <c r="B21" s="150" t="s">
        <v>1202</v>
      </c>
      <c r="C21" s="149" t="s">
        <v>1201</v>
      </c>
      <c r="D21" s="150" t="s">
        <v>1200</v>
      </c>
      <c r="E21" s="140" t="s">
        <v>1199</v>
      </c>
      <c r="F21" s="149" t="s">
        <v>1198</v>
      </c>
      <c r="G21" s="150" t="s">
        <v>1197</v>
      </c>
    </row>
    <row r="22" spans="1:7" x14ac:dyDescent="0.25">
      <c r="A22" s="150" t="s">
        <v>1196</v>
      </c>
      <c r="B22" s="150" t="s">
        <v>1195</v>
      </c>
      <c r="C22" s="150" t="s">
        <v>1194</v>
      </c>
      <c r="D22" s="150" t="s">
        <v>1193</v>
      </c>
      <c r="E22" s="149" t="s">
        <v>1192</v>
      </c>
      <c r="F22" s="149" t="s">
        <v>1191</v>
      </c>
      <c r="G22" s="150" t="s">
        <v>1190</v>
      </c>
    </row>
    <row r="23" spans="1:7" x14ac:dyDescent="0.25">
      <c r="A23" s="150" t="s">
        <v>1189</v>
      </c>
      <c r="B23" s="150" t="s">
        <v>1188</v>
      </c>
      <c r="C23" s="150" t="s">
        <v>1187</v>
      </c>
      <c r="D23" s="140" t="s">
        <v>1186</v>
      </c>
      <c r="E23" s="150" t="s">
        <v>1185</v>
      </c>
      <c r="F23" s="149" t="s">
        <v>1184</v>
      </c>
      <c r="G23" s="150" t="s">
        <v>1183</v>
      </c>
    </row>
    <row r="24" spans="1:7" x14ac:dyDescent="0.25">
      <c r="A24" s="140" t="s">
        <v>1182</v>
      </c>
      <c r="B24" s="150" t="s">
        <v>1181</v>
      </c>
      <c r="C24" s="149" t="s">
        <v>1180</v>
      </c>
      <c r="D24" s="149" t="s">
        <v>1179</v>
      </c>
      <c r="E24" s="150" t="s">
        <v>1178</v>
      </c>
      <c r="F24" s="150" t="s">
        <v>1177</v>
      </c>
      <c r="G24" s="150" t="s">
        <v>1176</v>
      </c>
    </row>
    <row r="25" spans="1:7" x14ac:dyDescent="0.25">
      <c r="A25" s="150" t="s">
        <v>1175</v>
      </c>
      <c r="B25" s="150" t="s">
        <v>1174</v>
      </c>
      <c r="C25" s="150" t="s">
        <v>1173</v>
      </c>
      <c r="D25" s="149" t="s">
        <v>1172</v>
      </c>
      <c r="E25" s="150" t="s">
        <v>1171</v>
      </c>
      <c r="F25" s="150" t="s">
        <v>1170</v>
      </c>
      <c r="G25" s="149" t="s">
        <v>1169</v>
      </c>
    </row>
    <row r="26" spans="1:7" x14ac:dyDescent="0.25">
      <c r="A26" s="150" t="s">
        <v>1168</v>
      </c>
      <c r="B26" s="150" t="s">
        <v>1167</v>
      </c>
      <c r="C26" s="150" t="s">
        <v>1166</v>
      </c>
      <c r="D26" s="150" t="s">
        <v>1165</v>
      </c>
      <c r="E26" s="150" t="s">
        <v>1164</v>
      </c>
      <c r="F26" s="150" t="s">
        <v>1163</v>
      </c>
      <c r="G26" s="150" t="s">
        <v>1162</v>
      </c>
    </row>
    <row r="27" spans="1:7" x14ac:dyDescent="0.25">
      <c r="A27" s="150" t="s">
        <v>1161</v>
      </c>
      <c r="B27" s="150" t="s">
        <v>1160</v>
      </c>
      <c r="C27" s="140" t="s">
        <v>1159</v>
      </c>
      <c r="D27" s="150" t="s">
        <v>1158</v>
      </c>
      <c r="E27" s="149" t="s">
        <v>1157</v>
      </c>
      <c r="F27" s="150" t="s">
        <v>1156</v>
      </c>
      <c r="G27" s="150" t="s">
        <v>1155</v>
      </c>
    </row>
    <row r="28" spans="1:7" x14ac:dyDescent="0.25">
      <c r="A28" s="150" t="s">
        <v>1154</v>
      </c>
      <c r="B28" s="150" t="s">
        <v>1153</v>
      </c>
      <c r="C28" s="149" t="s">
        <v>1152</v>
      </c>
      <c r="D28" s="149" t="s">
        <v>1151</v>
      </c>
      <c r="E28" s="150" t="s">
        <v>1150</v>
      </c>
      <c r="F28" s="149" t="s">
        <v>1149</v>
      </c>
      <c r="G28" s="150" t="s">
        <v>1148</v>
      </c>
    </row>
    <row r="29" spans="1:7" x14ac:dyDescent="0.25">
      <c r="A29" s="150" t="s">
        <v>1147</v>
      </c>
      <c r="B29" s="149" t="s">
        <v>1146</v>
      </c>
      <c r="C29" s="150" t="s">
        <v>1145</v>
      </c>
      <c r="D29" s="149" t="s">
        <v>1144</v>
      </c>
      <c r="E29" s="1052" t="s">
        <v>2160</v>
      </c>
      <c r="F29" s="150" t="s">
        <v>1142</v>
      </c>
      <c r="G29" s="150" t="s">
        <v>1141</v>
      </c>
    </row>
    <row r="30" spans="1:7" x14ac:dyDescent="0.25">
      <c r="A30" s="150" t="s">
        <v>1140</v>
      </c>
      <c r="B30" s="149" t="s">
        <v>1139</v>
      </c>
      <c r="C30" s="150" t="s">
        <v>1138</v>
      </c>
      <c r="D30" s="149" t="s">
        <v>1137</v>
      </c>
      <c r="E30" s="150" t="s">
        <v>1143</v>
      </c>
      <c r="F30" s="150" t="s">
        <v>1135</v>
      </c>
      <c r="G30" s="150" t="s">
        <v>1134</v>
      </c>
    </row>
    <row r="31" spans="1:7" x14ac:dyDescent="0.25">
      <c r="A31" s="150" t="s">
        <v>1133</v>
      </c>
      <c r="B31" s="150" t="s">
        <v>1132</v>
      </c>
      <c r="C31" s="149" t="s">
        <v>1131</v>
      </c>
      <c r="D31" s="150" t="s">
        <v>1130</v>
      </c>
      <c r="E31" s="149" t="s">
        <v>1136</v>
      </c>
      <c r="F31" s="149" t="s">
        <v>1128</v>
      </c>
      <c r="G31" s="150" t="s">
        <v>1127</v>
      </c>
    </row>
    <row r="32" spans="1:7" x14ac:dyDescent="0.25">
      <c r="A32" s="150" t="s">
        <v>1126</v>
      </c>
      <c r="B32" s="150" t="s">
        <v>1125</v>
      </c>
      <c r="C32" s="150" t="s">
        <v>1124</v>
      </c>
      <c r="D32" s="150" t="s">
        <v>1123</v>
      </c>
      <c r="E32" s="149" t="s">
        <v>1129</v>
      </c>
      <c r="F32" s="149" t="s">
        <v>1121</v>
      </c>
      <c r="G32" s="150" t="s">
        <v>1120</v>
      </c>
    </row>
    <row r="33" spans="1:7" x14ac:dyDescent="0.25">
      <c r="A33" s="150" t="s">
        <v>1119</v>
      </c>
      <c r="B33" s="150" t="s">
        <v>1118</v>
      </c>
      <c r="C33" s="150" t="s">
        <v>1117</v>
      </c>
      <c r="D33" s="149" t="s">
        <v>1116</v>
      </c>
      <c r="E33" s="149" t="s">
        <v>1122</v>
      </c>
      <c r="F33" s="150" t="s">
        <v>1114</v>
      </c>
      <c r="G33" s="140" t="s">
        <v>1113</v>
      </c>
    </row>
    <row r="34" spans="1:7" x14ac:dyDescent="0.25">
      <c r="A34" s="150" t="s">
        <v>1112</v>
      </c>
      <c r="B34" s="150" t="s">
        <v>1111</v>
      </c>
      <c r="C34" s="140" t="s">
        <v>1110</v>
      </c>
      <c r="D34" s="150" t="s">
        <v>1109</v>
      </c>
      <c r="E34" s="149" t="s">
        <v>1115</v>
      </c>
      <c r="F34" s="150" t="s">
        <v>1107</v>
      </c>
      <c r="G34" s="149" t="s">
        <v>1106</v>
      </c>
    </row>
    <row r="35" spans="1:7" x14ac:dyDescent="0.25">
      <c r="A35" s="150" t="s">
        <v>1105</v>
      </c>
      <c r="B35" s="150" t="s">
        <v>1104</v>
      </c>
      <c r="C35" s="149" t="s">
        <v>1103</v>
      </c>
      <c r="D35" s="150" t="s">
        <v>1102</v>
      </c>
      <c r="E35" s="149" t="s">
        <v>1108</v>
      </c>
      <c r="F35" s="150" t="s">
        <v>1100</v>
      </c>
      <c r="G35" s="150" t="s">
        <v>1099</v>
      </c>
    </row>
    <row r="36" spans="1:7" x14ac:dyDescent="0.25">
      <c r="A36" s="150" t="s">
        <v>1098</v>
      </c>
      <c r="B36" s="150" t="s">
        <v>1097</v>
      </c>
      <c r="C36" s="150" t="s">
        <v>1096</v>
      </c>
      <c r="D36" s="150" t="s">
        <v>1095</v>
      </c>
      <c r="E36" s="150" t="s">
        <v>1101</v>
      </c>
      <c r="F36" s="150" t="s">
        <v>1093</v>
      </c>
      <c r="G36" s="150" t="s">
        <v>1092</v>
      </c>
    </row>
    <row r="37" spans="1:7" x14ac:dyDescent="0.25">
      <c r="A37" s="140" t="s">
        <v>1091</v>
      </c>
      <c r="B37" s="150" t="s">
        <v>1090</v>
      </c>
      <c r="C37" s="150" t="s">
        <v>1089</v>
      </c>
      <c r="D37" s="150" t="s">
        <v>1088</v>
      </c>
      <c r="E37" s="150" t="s">
        <v>1094</v>
      </c>
      <c r="F37" s="150" t="s">
        <v>1086</v>
      </c>
      <c r="G37" s="150" t="s">
        <v>1085</v>
      </c>
    </row>
    <row r="38" spans="1:7" x14ac:dyDescent="0.25">
      <c r="A38" s="140" t="s">
        <v>1084</v>
      </c>
      <c r="B38" s="150" t="s">
        <v>1083</v>
      </c>
      <c r="C38" s="149" t="s">
        <v>1082</v>
      </c>
      <c r="D38" s="140" t="s">
        <v>1081</v>
      </c>
      <c r="E38" s="149" t="s">
        <v>1087</v>
      </c>
      <c r="F38" s="150" t="s">
        <v>1079</v>
      </c>
      <c r="G38" s="150" t="s">
        <v>1078</v>
      </c>
    </row>
    <row r="39" spans="1:7" x14ac:dyDescent="0.25">
      <c r="A39" s="140" t="s">
        <v>1077</v>
      </c>
      <c r="B39" s="150" t="s">
        <v>1076</v>
      </c>
      <c r="C39" s="150" t="s">
        <v>1075</v>
      </c>
      <c r="D39" s="149" t="s">
        <v>1074</v>
      </c>
      <c r="E39" s="150" t="s">
        <v>1080</v>
      </c>
      <c r="F39" s="150" t="s">
        <v>1072</v>
      </c>
      <c r="G39" s="150" t="s">
        <v>1071</v>
      </c>
    </row>
    <row r="40" spans="1:7" x14ac:dyDescent="0.25">
      <c r="A40" s="140" t="s">
        <v>1070</v>
      </c>
      <c r="B40" s="150" t="s">
        <v>1069</v>
      </c>
      <c r="C40" s="150" t="s">
        <v>1068</v>
      </c>
      <c r="D40" s="149" t="s">
        <v>1067</v>
      </c>
      <c r="E40" s="150" t="s">
        <v>1073</v>
      </c>
      <c r="F40" s="149" t="s">
        <v>1065</v>
      </c>
      <c r="G40" s="150" t="s">
        <v>1064</v>
      </c>
    </row>
    <row r="41" spans="1:7" x14ac:dyDescent="0.25">
      <c r="A41" s="149" t="s">
        <v>1063</v>
      </c>
      <c r="B41" s="150" t="s">
        <v>1062</v>
      </c>
      <c r="C41" s="149" t="s">
        <v>1061</v>
      </c>
      <c r="D41" s="149" t="s">
        <v>1060</v>
      </c>
      <c r="E41" s="150" t="s">
        <v>1066</v>
      </c>
      <c r="F41" s="150" t="s">
        <v>1058</v>
      </c>
      <c r="G41" s="150" t="s">
        <v>1057</v>
      </c>
    </row>
    <row r="42" spans="1:7" x14ac:dyDescent="0.25">
      <c r="A42" s="149" t="s">
        <v>1056</v>
      </c>
      <c r="B42" s="150" t="s">
        <v>1055</v>
      </c>
      <c r="C42" s="150" t="s">
        <v>1054</v>
      </c>
      <c r="D42" s="150" t="s">
        <v>1053</v>
      </c>
      <c r="E42" s="140" t="s">
        <v>1059</v>
      </c>
      <c r="F42" s="150" t="s">
        <v>1051</v>
      </c>
      <c r="G42" s="150" t="s">
        <v>1050</v>
      </c>
    </row>
    <row r="43" spans="1:7" x14ac:dyDescent="0.25">
      <c r="A43" s="140" t="s">
        <v>1049</v>
      </c>
      <c r="B43" s="150" t="s">
        <v>1048</v>
      </c>
      <c r="C43" s="150" t="s">
        <v>1047</v>
      </c>
      <c r="D43" s="150" t="s">
        <v>1046</v>
      </c>
      <c r="E43" s="140" t="s">
        <v>1052</v>
      </c>
      <c r="F43" s="150" t="s">
        <v>1044</v>
      </c>
      <c r="G43" s="150" t="s">
        <v>1043</v>
      </c>
    </row>
    <row r="44" spans="1:7" x14ac:dyDescent="0.25">
      <c r="A44" s="149" t="s">
        <v>1042</v>
      </c>
      <c r="B44" s="149" t="s">
        <v>1041</v>
      </c>
      <c r="C44" s="150" t="s">
        <v>1040</v>
      </c>
      <c r="D44" s="149" t="s">
        <v>1039</v>
      </c>
      <c r="E44" s="149" t="s">
        <v>1045</v>
      </c>
      <c r="F44" s="140" t="s">
        <v>1037</v>
      </c>
      <c r="G44" s="150" t="s">
        <v>1036</v>
      </c>
    </row>
    <row r="45" spans="1:7" x14ac:dyDescent="0.25">
      <c r="A45" s="149" t="s">
        <v>1035</v>
      </c>
      <c r="B45" s="149" t="s">
        <v>1034</v>
      </c>
      <c r="C45" s="140" t="s">
        <v>1033</v>
      </c>
      <c r="D45" s="149" t="s">
        <v>1032</v>
      </c>
      <c r="E45" s="150" t="s">
        <v>1038</v>
      </c>
      <c r="F45" s="140" t="s">
        <v>1030</v>
      </c>
      <c r="G45" s="140" t="s">
        <v>1029</v>
      </c>
    </row>
    <row r="46" spans="1:7" x14ac:dyDescent="0.25">
      <c r="A46" s="140" t="s">
        <v>1028</v>
      </c>
      <c r="B46" s="150" t="s">
        <v>1027</v>
      </c>
      <c r="C46" s="140" t="s">
        <v>1026</v>
      </c>
      <c r="D46" s="149" t="s">
        <v>1025</v>
      </c>
      <c r="E46" s="150" t="s">
        <v>1031</v>
      </c>
      <c r="F46" s="149" t="s">
        <v>1023</v>
      </c>
      <c r="G46" s="149" t="s">
        <v>1022</v>
      </c>
    </row>
    <row r="47" spans="1:7" x14ac:dyDescent="0.25">
      <c r="A47" s="149" t="s">
        <v>1021</v>
      </c>
      <c r="B47" s="150" t="s">
        <v>1020</v>
      </c>
      <c r="C47" s="149" t="s">
        <v>1019</v>
      </c>
      <c r="D47" s="149" t="s">
        <v>1018</v>
      </c>
      <c r="E47" s="149" t="s">
        <v>1024</v>
      </c>
      <c r="F47" s="149" t="s">
        <v>1016</v>
      </c>
      <c r="G47" s="149" t="s">
        <v>1015</v>
      </c>
    </row>
    <row r="48" spans="1:7" x14ac:dyDescent="0.25">
      <c r="A48" s="150" t="s">
        <v>1014</v>
      </c>
      <c r="B48" s="150" t="s">
        <v>1013</v>
      </c>
      <c r="C48" s="149" t="s">
        <v>1012</v>
      </c>
      <c r="D48" s="150" t="s">
        <v>1011</v>
      </c>
      <c r="E48" s="149" t="s">
        <v>1017</v>
      </c>
      <c r="F48" s="150" t="s">
        <v>1009</v>
      </c>
      <c r="G48" s="149" t="s">
        <v>1008</v>
      </c>
    </row>
    <row r="49" spans="1:7" x14ac:dyDescent="0.25">
      <c r="A49" s="150" t="s">
        <v>1007</v>
      </c>
      <c r="B49" s="150" t="s">
        <v>1006</v>
      </c>
      <c r="C49" s="140" t="s">
        <v>1005</v>
      </c>
      <c r="D49" s="150" t="s">
        <v>1004</v>
      </c>
      <c r="E49" s="140" t="s">
        <v>1010</v>
      </c>
      <c r="F49" s="150" t="s">
        <v>1002</v>
      </c>
      <c r="G49" s="149" t="s">
        <v>1001</v>
      </c>
    </row>
    <row r="50" spans="1:7" x14ac:dyDescent="0.25">
      <c r="A50" s="150" t="s">
        <v>1000</v>
      </c>
      <c r="B50" s="150" t="s">
        <v>999</v>
      </c>
      <c r="C50" s="140" t="s">
        <v>998</v>
      </c>
      <c r="D50" s="150" t="s">
        <v>997</v>
      </c>
      <c r="E50" s="140" t="s">
        <v>1003</v>
      </c>
      <c r="F50" s="149" t="s">
        <v>995</v>
      </c>
      <c r="G50" s="140" t="s">
        <v>994</v>
      </c>
    </row>
    <row r="51" spans="1:7" x14ac:dyDescent="0.25">
      <c r="A51" s="150" t="s">
        <v>993</v>
      </c>
      <c r="B51" s="150" t="s">
        <v>992</v>
      </c>
      <c r="C51" s="149" t="s">
        <v>991</v>
      </c>
      <c r="D51" s="150" t="s">
        <v>990</v>
      </c>
      <c r="E51" s="140" t="s">
        <v>996</v>
      </c>
      <c r="F51" s="150" t="s">
        <v>988</v>
      </c>
      <c r="G51" s="140" t="s">
        <v>987</v>
      </c>
    </row>
    <row r="52" spans="1:7" x14ac:dyDescent="0.25">
      <c r="A52" s="150" t="s">
        <v>986</v>
      </c>
      <c r="B52" s="150" t="s">
        <v>985</v>
      </c>
      <c r="C52" s="150" t="s">
        <v>984</v>
      </c>
      <c r="D52" s="140" t="s">
        <v>983</v>
      </c>
      <c r="E52" s="149" t="s">
        <v>989</v>
      </c>
      <c r="F52" s="150" t="s">
        <v>981</v>
      </c>
      <c r="G52" s="149" t="s">
        <v>980</v>
      </c>
    </row>
    <row r="53" spans="1:7" x14ac:dyDescent="0.25">
      <c r="A53" s="150" t="s">
        <v>979</v>
      </c>
      <c r="B53" s="150" t="s">
        <v>978</v>
      </c>
      <c r="C53" s="150" t="s">
        <v>977</v>
      </c>
      <c r="D53" s="149" t="s">
        <v>976</v>
      </c>
      <c r="E53" s="150" t="s">
        <v>982</v>
      </c>
      <c r="F53" s="150" t="s">
        <v>974</v>
      </c>
      <c r="G53" s="150" t="s">
        <v>973</v>
      </c>
    </row>
    <row r="54" spans="1:7" x14ac:dyDescent="0.25">
      <c r="A54" s="150" t="s">
        <v>972</v>
      </c>
      <c r="B54" s="150" t="s">
        <v>971</v>
      </c>
      <c r="C54" s="150" t="s">
        <v>970</v>
      </c>
      <c r="D54" s="149" t="s">
        <v>969</v>
      </c>
      <c r="E54" s="150" t="s">
        <v>975</v>
      </c>
      <c r="F54" s="149" t="s">
        <v>967</v>
      </c>
      <c r="G54" s="150" t="s">
        <v>966</v>
      </c>
    </row>
    <row r="55" spans="1:7" x14ac:dyDescent="0.25">
      <c r="A55" s="150" t="s">
        <v>965</v>
      </c>
      <c r="B55" s="149" t="s">
        <v>964</v>
      </c>
      <c r="C55" s="149" t="s">
        <v>963</v>
      </c>
      <c r="D55" s="149" t="s">
        <v>962</v>
      </c>
      <c r="E55" s="150" t="s">
        <v>968</v>
      </c>
      <c r="F55" s="149" t="s">
        <v>960</v>
      </c>
      <c r="G55" s="150" t="s">
        <v>959</v>
      </c>
    </row>
    <row r="56" spans="1:7" x14ac:dyDescent="0.25">
      <c r="A56" s="149" t="s">
        <v>958</v>
      </c>
      <c r="B56" s="150" t="s">
        <v>957</v>
      </c>
      <c r="C56" s="150" t="s">
        <v>956</v>
      </c>
      <c r="D56" s="150" t="s">
        <v>955</v>
      </c>
      <c r="E56" s="150" t="s">
        <v>961</v>
      </c>
      <c r="F56" s="150" t="s">
        <v>954</v>
      </c>
      <c r="G56" s="149" t="s">
        <v>953</v>
      </c>
    </row>
    <row r="57" spans="1:7" x14ac:dyDescent="0.25">
      <c r="A57" s="149" t="s">
        <v>952</v>
      </c>
      <c r="B57" s="150" t="s">
        <v>951</v>
      </c>
      <c r="C57" s="150" t="s">
        <v>950</v>
      </c>
      <c r="D57" s="150" t="s">
        <v>949</v>
      </c>
      <c r="F57" s="150" t="s">
        <v>948</v>
      </c>
      <c r="G57" s="149" t="s">
        <v>947</v>
      </c>
    </row>
    <row r="58" spans="1:7" x14ac:dyDescent="0.25">
      <c r="A58" s="150" t="s">
        <v>946</v>
      </c>
      <c r="B58" s="150" t="s">
        <v>945</v>
      </c>
      <c r="C58" s="150" t="s">
        <v>944</v>
      </c>
      <c r="D58" s="150" t="s">
        <v>943</v>
      </c>
      <c r="F58" s="150" t="s">
        <v>942</v>
      </c>
      <c r="G58" s="149" t="s">
        <v>941</v>
      </c>
    </row>
    <row r="59" spans="1:7" x14ac:dyDescent="0.25">
      <c r="A59" s="150" t="s">
        <v>940</v>
      </c>
      <c r="B59" s="150" t="s">
        <v>939</v>
      </c>
      <c r="C59" s="149" t="s">
        <v>938</v>
      </c>
      <c r="D59" s="140" t="s">
        <v>937</v>
      </c>
      <c r="F59" s="149" t="s">
        <v>936</v>
      </c>
      <c r="G59" s="149" t="s">
        <v>935</v>
      </c>
    </row>
    <row r="60" spans="1:7" x14ac:dyDescent="0.25">
      <c r="A60" s="150" t="s">
        <v>934</v>
      </c>
      <c r="B60" s="150" t="s">
        <v>933</v>
      </c>
      <c r="C60" s="150" t="s">
        <v>932</v>
      </c>
      <c r="D60" s="149" t="s">
        <v>931</v>
      </c>
      <c r="F60" s="150" t="s">
        <v>930</v>
      </c>
      <c r="G60" s="150" t="s">
        <v>929</v>
      </c>
    </row>
    <row r="61" spans="1:7" x14ac:dyDescent="0.25">
      <c r="A61" s="150" t="s">
        <v>928</v>
      </c>
      <c r="B61" s="150" t="s">
        <v>927</v>
      </c>
      <c r="C61" s="150" t="s">
        <v>926</v>
      </c>
      <c r="D61" s="150" t="s">
        <v>925</v>
      </c>
      <c r="F61" s="150" t="s">
        <v>924</v>
      </c>
      <c r="G61" s="150" t="s">
        <v>923</v>
      </c>
    </row>
    <row r="62" spans="1:7" x14ac:dyDescent="0.25">
      <c r="A62" s="150" t="s">
        <v>922</v>
      </c>
      <c r="B62" s="140" t="s">
        <v>921</v>
      </c>
      <c r="C62" s="149" t="s">
        <v>920</v>
      </c>
      <c r="D62" s="150" t="s">
        <v>919</v>
      </c>
      <c r="F62" s="150" t="s">
        <v>918</v>
      </c>
      <c r="G62" s="149" t="s">
        <v>917</v>
      </c>
    </row>
    <row r="63" spans="1:7" x14ac:dyDescent="0.25">
      <c r="A63" s="150" t="s">
        <v>916</v>
      </c>
      <c r="B63" s="140" t="s">
        <v>915</v>
      </c>
      <c r="C63" s="150" t="s">
        <v>914</v>
      </c>
      <c r="D63" s="150" t="s">
        <v>913</v>
      </c>
      <c r="F63" s="150" t="s">
        <v>912</v>
      </c>
      <c r="G63" s="140" t="s">
        <v>911</v>
      </c>
    </row>
    <row r="64" spans="1:7" x14ac:dyDescent="0.25">
      <c r="A64" s="150" t="s">
        <v>910</v>
      </c>
      <c r="B64" s="149" t="s">
        <v>909</v>
      </c>
      <c r="C64" s="150" t="s">
        <v>908</v>
      </c>
      <c r="D64" s="150" t="s">
        <v>907</v>
      </c>
      <c r="F64" s="150" t="s">
        <v>906</v>
      </c>
      <c r="G64" s="149" t="s">
        <v>905</v>
      </c>
    </row>
    <row r="65" spans="1:7" x14ac:dyDescent="0.25">
      <c r="A65" s="150" t="s">
        <v>904</v>
      </c>
      <c r="B65" s="150" t="s">
        <v>903</v>
      </c>
      <c r="C65" s="149" t="s">
        <v>902</v>
      </c>
      <c r="D65" s="149" t="s">
        <v>901</v>
      </c>
      <c r="F65" s="150" t="s">
        <v>900</v>
      </c>
      <c r="G65" s="150" t="s">
        <v>899</v>
      </c>
    </row>
    <row r="66" spans="1:7" x14ac:dyDescent="0.25">
      <c r="A66" s="150" t="s">
        <v>898</v>
      </c>
      <c r="B66" s="150" t="s">
        <v>897</v>
      </c>
      <c r="C66" s="150" t="s">
        <v>896</v>
      </c>
      <c r="D66" s="150" t="s">
        <v>895</v>
      </c>
      <c r="F66" s="150" t="s">
        <v>894</v>
      </c>
      <c r="G66" s="150" t="s">
        <v>893</v>
      </c>
    </row>
    <row r="67" spans="1:7" x14ac:dyDescent="0.25">
      <c r="A67" s="150" t="s">
        <v>892</v>
      </c>
      <c r="B67" s="150" t="s">
        <v>891</v>
      </c>
      <c r="C67" s="150" t="s">
        <v>890</v>
      </c>
      <c r="D67" s="150" t="s">
        <v>889</v>
      </c>
      <c r="F67" s="150" t="s">
        <v>888</v>
      </c>
      <c r="G67" s="150" t="s">
        <v>887</v>
      </c>
    </row>
    <row r="68" spans="1:7" x14ac:dyDescent="0.25">
      <c r="A68" s="140" t="s">
        <v>886</v>
      </c>
      <c r="B68" s="150" t="s">
        <v>885</v>
      </c>
      <c r="C68" s="149" t="s">
        <v>884</v>
      </c>
      <c r="D68" s="149" t="s">
        <v>883</v>
      </c>
      <c r="F68" s="149" t="s">
        <v>882</v>
      </c>
      <c r="G68" s="150" t="s">
        <v>881</v>
      </c>
    </row>
    <row r="69" spans="1:7" x14ac:dyDescent="0.25">
      <c r="A69" s="149" t="s">
        <v>880</v>
      </c>
      <c r="B69" s="149" t="s">
        <v>879</v>
      </c>
      <c r="C69" s="150" t="s">
        <v>878</v>
      </c>
      <c r="D69" s="150" t="s">
        <v>877</v>
      </c>
      <c r="F69" s="149" t="s">
        <v>876</v>
      </c>
      <c r="G69" s="149" t="s">
        <v>875</v>
      </c>
    </row>
    <row r="70" spans="1:7" x14ac:dyDescent="0.25">
      <c r="A70" s="150" t="s">
        <v>874</v>
      </c>
      <c r="B70" s="149" t="s">
        <v>873</v>
      </c>
      <c r="C70" s="150" t="s">
        <v>872</v>
      </c>
      <c r="D70" s="150" t="s">
        <v>871</v>
      </c>
      <c r="F70" s="150" t="s">
        <v>870</v>
      </c>
      <c r="G70" s="150" t="s">
        <v>869</v>
      </c>
    </row>
    <row r="71" spans="1:7" x14ac:dyDescent="0.25">
      <c r="A71" s="150" t="s">
        <v>868</v>
      </c>
      <c r="B71" s="149" t="s">
        <v>867</v>
      </c>
      <c r="D71" s="149" t="s">
        <v>866</v>
      </c>
      <c r="F71" s="150" t="s">
        <v>865</v>
      </c>
      <c r="G71" s="150" t="s">
        <v>864</v>
      </c>
    </row>
    <row r="72" spans="1:7" x14ac:dyDescent="0.25">
      <c r="A72" s="149" t="s">
        <v>863</v>
      </c>
      <c r="B72" s="150" t="s">
        <v>862</v>
      </c>
      <c r="D72" s="149" t="s">
        <v>861</v>
      </c>
      <c r="F72" s="150" t="s">
        <v>860</v>
      </c>
      <c r="G72" s="150" t="s">
        <v>859</v>
      </c>
    </row>
    <row r="73" spans="1:7" x14ac:dyDescent="0.25">
      <c r="A73" s="150" t="s">
        <v>858</v>
      </c>
      <c r="B73" s="150" t="s">
        <v>857</v>
      </c>
      <c r="D73" s="150" t="s">
        <v>856</v>
      </c>
      <c r="F73" s="149" t="s">
        <v>855</v>
      </c>
      <c r="G73" s="149" t="s">
        <v>854</v>
      </c>
    </row>
    <row r="74" spans="1:7" x14ac:dyDescent="0.25">
      <c r="A74" s="150" t="s">
        <v>853</v>
      </c>
      <c r="B74" s="150" t="s">
        <v>852</v>
      </c>
      <c r="D74" s="150" t="s">
        <v>851</v>
      </c>
      <c r="F74" s="140" t="s">
        <v>850</v>
      </c>
      <c r="G74" s="150" t="s">
        <v>849</v>
      </c>
    </row>
    <row r="75" spans="1:7" x14ac:dyDescent="0.25">
      <c r="A75" s="149" t="s">
        <v>848</v>
      </c>
      <c r="B75" s="150" t="s">
        <v>847</v>
      </c>
      <c r="D75" s="150" t="s">
        <v>846</v>
      </c>
      <c r="F75" s="149" t="s">
        <v>845</v>
      </c>
      <c r="G75" s="150" t="s">
        <v>844</v>
      </c>
    </row>
    <row r="76" spans="1:7" x14ac:dyDescent="0.25">
      <c r="A76" s="149" t="s">
        <v>843</v>
      </c>
      <c r="B76" s="150"/>
      <c r="D76" s="150" t="s">
        <v>842</v>
      </c>
      <c r="F76" s="150" t="s">
        <v>841</v>
      </c>
      <c r="G76" s="149" t="s">
        <v>840</v>
      </c>
    </row>
    <row r="77" spans="1:7" x14ac:dyDescent="0.25">
      <c r="A77" s="149" t="s">
        <v>839</v>
      </c>
      <c r="B77" s="140" t="s">
        <v>838</v>
      </c>
      <c r="D77" s="150" t="s">
        <v>837</v>
      </c>
      <c r="F77" s="150" t="s">
        <v>836</v>
      </c>
      <c r="G77" s="149" t="s">
        <v>835</v>
      </c>
    </row>
    <row r="78" spans="1:7" x14ac:dyDescent="0.25">
      <c r="A78" s="149" t="s">
        <v>834</v>
      </c>
      <c r="B78" s="140" t="s">
        <v>833</v>
      </c>
      <c r="D78" s="150" t="s">
        <v>832</v>
      </c>
      <c r="F78" s="149" t="s">
        <v>831</v>
      </c>
      <c r="G78" s="149" t="s">
        <v>830</v>
      </c>
    </row>
    <row r="79" spans="1:7" x14ac:dyDescent="0.25">
      <c r="A79" s="149" t="s">
        <v>829</v>
      </c>
      <c r="B79" s="149" t="s">
        <v>828</v>
      </c>
      <c r="D79" s="150" t="s">
        <v>827</v>
      </c>
      <c r="F79" s="150" t="s">
        <v>826</v>
      </c>
      <c r="G79" s="149" t="s">
        <v>825</v>
      </c>
    </row>
    <row r="80" spans="1:7" x14ac:dyDescent="0.25">
      <c r="A80" s="140" t="s">
        <v>824</v>
      </c>
      <c r="B80" s="150" t="s">
        <v>823</v>
      </c>
      <c r="D80" s="150" t="s">
        <v>822</v>
      </c>
      <c r="F80" s="150" t="s">
        <v>821</v>
      </c>
      <c r="G80" s="149" t="s">
        <v>820</v>
      </c>
    </row>
    <row r="81" spans="1:7" x14ac:dyDescent="0.25">
      <c r="A81" s="140" t="s">
        <v>819</v>
      </c>
      <c r="B81" s="150" t="s">
        <v>818</v>
      </c>
      <c r="D81" s="150" t="s">
        <v>817</v>
      </c>
      <c r="F81" s="150" t="s">
        <v>816</v>
      </c>
      <c r="G81" s="140" t="s">
        <v>815</v>
      </c>
    </row>
    <row r="82" spans="1:7" x14ac:dyDescent="0.25">
      <c r="A82" s="150" t="s">
        <v>814</v>
      </c>
      <c r="B82" s="149" t="s">
        <v>813</v>
      </c>
      <c r="D82" s="150" t="s">
        <v>812</v>
      </c>
      <c r="F82" s="150" t="s">
        <v>811</v>
      </c>
      <c r="G82" s="149" t="s">
        <v>810</v>
      </c>
    </row>
    <row r="83" spans="1:7" x14ac:dyDescent="0.25">
      <c r="A83" s="150" t="s">
        <v>809</v>
      </c>
      <c r="B83" s="150" t="s">
        <v>808</v>
      </c>
      <c r="D83" s="150" t="s">
        <v>807</v>
      </c>
      <c r="F83" s="150" t="s">
        <v>806</v>
      </c>
      <c r="G83" s="150" t="s">
        <v>805</v>
      </c>
    </row>
    <row r="84" spans="1:7" x14ac:dyDescent="0.25">
      <c r="A84" s="150" t="s">
        <v>804</v>
      </c>
      <c r="B84" s="149" t="s">
        <v>803</v>
      </c>
      <c r="D84" s="150" t="s">
        <v>802</v>
      </c>
      <c r="F84" s="150" t="s">
        <v>801</v>
      </c>
      <c r="G84" s="150" t="s">
        <v>800</v>
      </c>
    </row>
    <row r="85" spans="1:7" x14ac:dyDescent="0.25">
      <c r="A85" s="150" t="s">
        <v>799</v>
      </c>
      <c r="B85" s="150" t="s">
        <v>798</v>
      </c>
      <c r="D85" s="150" t="s">
        <v>797</v>
      </c>
      <c r="F85" s="150" t="s">
        <v>796</v>
      </c>
      <c r="G85" s="150" t="s">
        <v>795</v>
      </c>
    </row>
    <row r="86" spans="1:7" x14ac:dyDescent="0.25">
      <c r="A86" s="150" t="s">
        <v>794</v>
      </c>
      <c r="B86" s="150" t="s">
        <v>793</v>
      </c>
      <c r="D86" s="150" t="s">
        <v>792</v>
      </c>
      <c r="F86" s="149" t="s">
        <v>791</v>
      </c>
      <c r="G86" s="150" t="s">
        <v>790</v>
      </c>
    </row>
    <row r="87" spans="1:7" x14ac:dyDescent="0.25">
      <c r="A87" s="150" t="s">
        <v>789</v>
      </c>
      <c r="B87" s="150" t="s">
        <v>788</v>
      </c>
      <c r="D87" s="150" t="s">
        <v>787</v>
      </c>
      <c r="F87" s="150" t="s">
        <v>786</v>
      </c>
      <c r="G87" s="150" t="s">
        <v>785</v>
      </c>
    </row>
    <row r="88" spans="1:7" x14ac:dyDescent="0.25">
      <c r="A88" s="150" t="s">
        <v>784</v>
      </c>
      <c r="B88" s="150" t="s">
        <v>783</v>
      </c>
      <c r="D88" s="150" t="s">
        <v>782</v>
      </c>
      <c r="F88" s="150" t="s">
        <v>781</v>
      </c>
      <c r="G88" s="150" t="s">
        <v>780</v>
      </c>
    </row>
    <row r="89" spans="1:7" x14ac:dyDescent="0.25">
      <c r="A89" s="140" t="s">
        <v>779</v>
      </c>
      <c r="B89" s="150" t="s">
        <v>778</v>
      </c>
      <c r="D89" s="150" t="s">
        <v>777</v>
      </c>
      <c r="F89" s="150" t="s">
        <v>776</v>
      </c>
      <c r="G89" s="149" t="s">
        <v>775</v>
      </c>
    </row>
    <row r="90" spans="1:7" x14ac:dyDescent="0.25">
      <c r="A90" s="140" t="s">
        <v>774</v>
      </c>
      <c r="B90" s="150" t="s">
        <v>773</v>
      </c>
      <c r="D90" s="150" t="s">
        <v>772</v>
      </c>
      <c r="F90" s="150" t="s">
        <v>771</v>
      </c>
      <c r="G90" s="149" t="s">
        <v>770</v>
      </c>
    </row>
    <row r="91" spans="1:7" x14ac:dyDescent="0.25">
      <c r="A91" s="140" t="s">
        <v>769</v>
      </c>
      <c r="B91" s="149" t="s">
        <v>768</v>
      </c>
      <c r="D91" s="150" t="s">
        <v>767</v>
      </c>
      <c r="F91" s="150" t="s">
        <v>766</v>
      </c>
      <c r="G91" s="150" t="s">
        <v>765</v>
      </c>
    </row>
    <row r="92" spans="1:7" x14ac:dyDescent="0.25">
      <c r="A92" s="140" t="s">
        <v>764</v>
      </c>
      <c r="B92" s="150" t="s">
        <v>763</v>
      </c>
      <c r="D92" s="150" t="s">
        <v>762</v>
      </c>
      <c r="F92" s="150" t="s">
        <v>761</v>
      </c>
      <c r="G92" s="150" t="s">
        <v>760</v>
      </c>
    </row>
    <row r="93" spans="1:7" x14ac:dyDescent="0.25">
      <c r="A93" s="140" t="s">
        <v>759</v>
      </c>
      <c r="B93" s="150" t="s">
        <v>758</v>
      </c>
      <c r="D93" s="149" t="s">
        <v>757</v>
      </c>
      <c r="F93" s="150" t="s">
        <v>756</v>
      </c>
      <c r="G93" s="149" t="s">
        <v>755</v>
      </c>
    </row>
    <row r="94" spans="1:7" x14ac:dyDescent="0.25">
      <c r="A94" s="150" t="s">
        <v>754</v>
      </c>
      <c r="B94" s="149" t="s">
        <v>753</v>
      </c>
      <c r="D94" s="149" t="s">
        <v>752</v>
      </c>
      <c r="F94" s="150" t="s">
        <v>751</v>
      </c>
      <c r="G94" s="150" t="s">
        <v>750</v>
      </c>
    </row>
    <row r="95" spans="1:7" x14ac:dyDescent="0.25">
      <c r="A95" s="149" t="s">
        <v>749</v>
      </c>
      <c r="B95" s="140" t="s">
        <v>748</v>
      </c>
      <c r="D95" s="149" t="s">
        <v>747</v>
      </c>
      <c r="F95" s="149" t="s">
        <v>746</v>
      </c>
      <c r="G95" s="150" t="s">
        <v>745</v>
      </c>
    </row>
    <row r="96" spans="1:7" x14ac:dyDescent="0.25">
      <c r="A96" s="150" t="s">
        <v>744</v>
      </c>
      <c r="B96" s="149" t="s">
        <v>743</v>
      </c>
      <c r="D96" s="150" t="s">
        <v>742</v>
      </c>
      <c r="F96" s="150" t="s">
        <v>741</v>
      </c>
      <c r="G96" s="150" t="s">
        <v>740</v>
      </c>
    </row>
    <row r="97" spans="1:7" x14ac:dyDescent="0.25">
      <c r="A97" s="140" t="s">
        <v>739</v>
      </c>
      <c r="B97" s="150" t="s">
        <v>738</v>
      </c>
      <c r="D97" s="150" t="s">
        <v>737</v>
      </c>
      <c r="F97" s="150" t="s">
        <v>736</v>
      </c>
      <c r="G97" s="150" t="s">
        <v>735</v>
      </c>
    </row>
    <row r="98" spans="1:7" x14ac:dyDescent="0.25">
      <c r="A98" s="149" t="s">
        <v>734</v>
      </c>
      <c r="B98" s="150" t="s">
        <v>733</v>
      </c>
      <c r="D98" s="150" t="s">
        <v>732</v>
      </c>
      <c r="F98" s="150" t="s">
        <v>731</v>
      </c>
      <c r="G98" s="149" t="s">
        <v>730</v>
      </c>
    </row>
    <row r="99" spans="1:7" x14ac:dyDescent="0.25">
      <c r="A99" s="149" t="s">
        <v>729</v>
      </c>
      <c r="B99" s="149" t="s">
        <v>728</v>
      </c>
      <c r="D99" s="149" t="s">
        <v>727</v>
      </c>
      <c r="F99" s="150" t="s">
        <v>726</v>
      </c>
      <c r="G99" s="149" t="s">
        <v>725</v>
      </c>
    </row>
    <row r="100" spans="1:7" x14ac:dyDescent="0.25">
      <c r="A100" s="149" t="s">
        <v>724</v>
      </c>
      <c r="B100" s="150" t="s">
        <v>723</v>
      </c>
      <c r="D100" s="140" t="s">
        <v>722</v>
      </c>
      <c r="F100" s="150" t="s">
        <v>721</v>
      </c>
      <c r="G100" s="150" t="s">
        <v>720</v>
      </c>
    </row>
    <row r="101" spans="1:7" x14ac:dyDescent="0.25">
      <c r="A101" s="149" t="s">
        <v>719</v>
      </c>
      <c r="B101" s="150" t="s">
        <v>718</v>
      </c>
      <c r="D101" s="149" t="s">
        <v>717</v>
      </c>
      <c r="F101" s="150" t="s">
        <v>716</v>
      </c>
      <c r="G101" s="150" t="s">
        <v>715</v>
      </c>
    </row>
    <row r="102" spans="1:7" x14ac:dyDescent="0.25">
      <c r="A102" s="149" t="s">
        <v>714</v>
      </c>
      <c r="B102" s="149" t="s">
        <v>713</v>
      </c>
      <c r="D102" s="149" t="s">
        <v>712</v>
      </c>
      <c r="F102" s="149" t="s">
        <v>711</v>
      </c>
      <c r="G102" s="150" t="s">
        <v>710</v>
      </c>
    </row>
    <row r="103" spans="1:7" x14ac:dyDescent="0.25">
      <c r="A103" s="150" t="s">
        <v>709</v>
      </c>
      <c r="B103" s="149" t="s">
        <v>708</v>
      </c>
      <c r="D103" s="150" t="s">
        <v>707</v>
      </c>
      <c r="F103" s="150" t="s">
        <v>706</v>
      </c>
      <c r="G103" s="150" t="s">
        <v>705</v>
      </c>
    </row>
    <row r="104" spans="1:7" x14ac:dyDescent="0.25">
      <c r="A104" s="150" t="s">
        <v>704</v>
      </c>
      <c r="B104" s="150" t="s">
        <v>703</v>
      </c>
      <c r="D104" s="150" t="s">
        <v>702</v>
      </c>
      <c r="F104" s="150" t="s">
        <v>701</v>
      </c>
      <c r="G104" s="140" t="s">
        <v>700</v>
      </c>
    </row>
    <row r="105" spans="1:7" x14ac:dyDescent="0.25">
      <c r="A105" s="149" t="s">
        <v>699</v>
      </c>
      <c r="B105" s="150" t="s">
        <v>698</v>
      </c>
      <c r="D105" s="149" t="s">
        <v>697</v>
      </c>
      <c r="F105" s="150" t="s">
        <v>696</v>
      </c>
      <c r="G105" s="149" t="s">
        <v>695</v>
      </c>
    </row>
    <row r="106" spans="1:7" x14ac:dyDescent="0.25">
      <c r="A106" s="150" t="s">
        <v>694</v>
      </c>
      <c r="B106" s="150" t="s">
        <v>693</v>
      </c>
      <c r="D106" s="150" t="s">
        <v>692</v>
      </c>
      <c r="F106" s="150" t="s">
        <v>691</v>
      </c>
      <c r="G106" s="150" t="s">
        <v>690</v>
      </c>
    </row>
    <row r="107" spans="1:7" x14ac:dyDescent="0.25">
      <c r="A107" s="150" t="s">
        <v>689</v>
      </c>
      <c r="B107" s="150" t="s">
        <v>688</v>
      </c>
      <c r="D107" s="150" t="s">
        <v>687</v>
      </c>
      <c r="F107" s="149" t="s">
        <v>686</v>
      </c>
      <c r="G107" s="150" t="s">
        <v>685</v>
      </c>
    </row>
    <row r="108" spans="1:7" x14ac:dyDescent="0.25">
      <c r="A108" s="149" t="s">
        <v>684</v>
      </c>
      <c r="B108" s="149" t="s">
        <v>683</v>
      </c>
      <c r="D108" s="150" t="s">
        <v>682</v>
      </c>
      <c r="F108" s="149" t="s">
        <v>681</v>
      </c>
      <c r="G108" s="150" t="s">
        <v>680</v>
      </c>
    </row>
    <row r="109" spans="1:7" x14ac:dyDescent="0.25">
      <c r="A109" s="150" t="s">
        <v>679</v>
      </c>
      <c r="B109" s="150" t="s">
        <v>678</v>
      </c>
      <c r="D109" s="150" t="s">
        <v>677</v>
      </c>
      <c r="F109" s="150" t="s">
        <v>676</v>
      </c>
      <c r="G109" s="150" t="s">
        <v>675</v>
      </c>
    </row>
    <row r="110" spans="1:7" x14ac:dyDescent="0.25">
      <c r="A110" s="150" t="s">
        <v>674</v>
      </c>
      <c r="B110" s="150" t="s">
        <v>673</v>
      </c>
      <c r="D110" s="150" t="s">
        <v>672</v>
      </c>
      <c r="F110" s="150" t="s">
        <v>671</v>
      </c>
      <c r="G110" s="150" t="s">
        <v>670</v>
      </c>
    </row>
    <row r="111" spans="1:7" x14ac:dyDescent="0.25">
      <c r="A111" s="150" t="s">
        <v>669</v>
      </c>
      <c r="B111" s="149" t="s">
        <v>668</v>
      </c>
      <c r="D111" s="150" t="s">
        <v>667</v>
      </c>
      <c r="F111" s="150" t="s">
        <v>666</v>
      </c>
      <c r="G111" s="150" t="s">
        <v>665</v>
      </c>
    </row>
    <row r="112" spans="1:7" x14ac:dyDescent="0.25">
      <c r="A112" s="149" t="s">
        <v>664</v>
      </c>
      <c r="B112" s="150" t="s">
        <v>663</v>
      </c>
      <c r="D112" s="150" t="s">
        <v>662</v>
      </c>
      <c r="F112" s="150" t="s">
        <v>661</v>
      </c>
      <c r="G112" s="150" t="s">
        <v>660</v>
      </c>
    </row>
    <row r="113" spans="1:7" x14ac:dyDescent="0.25">
      <c r="A113" s="150" t="s">
        <v>659</v>
      </c>
      <c r="B113" s="150" t="s">
        <v>658</v>
      </c>
      <c r="D113" s="150" t="s">
        <v>657</v>
      </c>
      <c r="F113" s="150" t="s">
        <v>656</v>
      </c>
      <c r="G113" s="150" t="s">
        <v>655</v>
      </c>
    </row>
    <row r="114" spans="1:7" x14ac:dyDescent="0.25">
      <c r="A114" s="150" t="s">
        <v>654</v>
      </c>
      <c r="B114" s="150" t="s">
        <v>653</v>
      </c>
      <c r="D114" s="150" t="s">
        <v>652</v>
      </c>
      <c r="F114" s="149" t="s">
        <v>651</v>
      </c>
      <c r="G114" s="150" t="s">
        <v>650</v>
      </c>
    </row>
    <row r="115" spans="1:7" x14ac:dyDescent="0.25">
      <c r="A115" s="150" t="s">
        <v>649</v>
      </c>
      <c r="B115" s="150" t="s">
        <v>648</v>
      </c>
      <c r="D115" s="150" t="s">
        <v>647</v>
      </c>
      <c r="F115" s="150" t="s">
        <v>646</v>
      </c>
      <c r="G115" s="150" t="s">
        <v>645</v>
      </c>
    </row>
    <row r="116" spans="1:7" x14ac:dyDescent="0.25">
      <c r="A116" s="150" t="s">
        <v>644</v>
      </c>
      <c r="B116" s="150" t="s">
        <v>643</v>
      </c>
      <c r="D116" s="149" t="s">
        <v>642</v>
      </c>
      <c r="F116" s="150" t="s">
        <v>641</v>
      </c>
      <c r="G116" s="149" t="s">
        <v>640</v>
      </c>
    </row>
    <row r="117" spans="1:7" x14ac:dyDescent="0.25">
      <c r="A117" s="150" t="s">
        <v>639</v>
      </c>
      <c r="B117" s="150" t="s">
        <v>638</v>
      </c>
      <c r="D117" s="149" t="s">
        <v>637</v>
      </c>
      <c r="F117" s="149" t="s">
        <v>636</v>
      </c>
      <c r="G117" s="150" t="s">
        <v>635</v>
      </c>
    </row>
    <row r="118" spans="1:7" x14ac:dyDescent="0.25">
      <c r="A118" s="150" t="s">
        <v>634</v>
      </c>
      <c r="B118" s="149" t="s">
        <v>633</v>
      </c>
      <c r="D118" s="150" t="s">
        <v>632</v>
      </c>
      <c r="F118" s="140" t="s">
        <v>631</v>
      </c>
      <c r="G118" s="150" t="s">
        <v>630</v>
      </c>
    </row>
    <row r="119" spans="1:7" x14ac:dyDescent="0.25">
      <c r="A119" s="150" t="s">
        <v>629</v>
      </c>
      <c r="B119" s="150" t="s">
        <v>628</v>
      </c>
      <c r="D119" s="150" t="s">
        <v>627</v>
      </c>
      <c r="F119" s="149" t="s">
        <v>626</v>
      </c>
      <c r="G119" s="150" t="s">
        <v>625</v>
      </c>
    </row>
    <row r="120" spans="1:7" x14ac:dyDescent="0.25">
      <c r="A120" s="150" t="s">
        <v>624</v>
      </c>
      <c r="B120" s="150" t="s">
        <v>623</v>
      </c>
      <c r="D120" s="140" t="s">
        <v>622</v>
      </c>
      <c r="F120" s="150" t="s">
        <v>621</v>
      </c>
      <c r="G120" s="150" t="s">
        <v>620</v>
      </c>
    </row>
    <row r="121" spans="1:7" x14ac:dyDescent="0.25">
      <c r="A121" s="150" t="s">
        <v>619</v>
      </c>
      <c r="B121" s="149" t="s">
        <v>618</v>
      </c>
      <c r="D121" s="149" t="s">
        <v>617</v>
      </c>
      <c r="F121" s="150" t="s">
        <v>616</v>
      </c>
      <c r="G121" s="149" t="s">
        <v>615</v>
      </c>
    </row>
    <row r="122" spans="1:7" x14ac:dyDescent="0.25">
      <c r="A122" s="150" t="s">
        <v>614</v>
      </c>
      <c r="B122" s="140" t="s">
        <v>613</v>
      </c>
      <c r="D122" s="149" t="s">
        <v>612</v>
      </c>
      <c r="F122" s="150" t="s">
        <v>611</v>
      </c>
      <c r="G122" s="150" t="s">
        <v>610</v>
      </c>
    </row>
    <row r="123" spans="1:7" x14ac:dyDescent="0.25">
      <c r="A123" s="150" t="s">
        <v>609</v>
      </c>
      <c r="B123" s="149" t="s">
        <v>608</v>
      </c>
      <c r="D123" s="149" t="s">
        <v>607</v>
      </c>
      <c r="F123" s="150" t="s">
        <v>606</v>
      </c>
      <c r="G123" s="150" t="s">
        <v>605</v>
      </c>
    </row>
    <row r="124" spans="1:7" x14ac:dyDescent="0.25">
      <c r="A124" s="149" t="s">
        <v>604</v>
      </c>
      <c r="B124" s="150" t="s">
        <v>603</v>
      </c>
      <c r="D124" s="149" t="s">
        <v>602</v>
      </c>
      <c r="F124" s="150" t="s">
        <v>601</v>
      </c>
      <c r="G124" s="150" t="s">
        <v>600</v>
      </c>
    </row>
    <row r="125" spans="1:7" x14ac:dyDescent="0.25">
      <c r="A125" s="140" t="s">
        <v>599</v>
      </c>
      <c r="B125" s="150" t="s">
        <v>598</v>
      </c>
      <c r="D125" s="149" t="s">
        <v>597</v>
      </c>
      <c r="F125" s="149" t="s">
        <v>596</v>
      </c>
      <c r="G125" s="150" t="s">
        <v>595</v>
      </c>
    </row>
    <row r="126" spans="1:7" x14ac:dyDescent="0.25">
      <c r="A126" s="149" t="s">
        <v>594</v>
      </c>
      <c r="B126" s="150" t="s">
        <v>593</v>
      </c>
      <c r="D126" s="150" t="s">
        <v>592</v>
      </c>
      <c r="F126" s="150" t="s">
        <v>591</v>
      </c>
      <c r="G126" s="150" t="s">
        <v>590</v>
      </c>
    </row>
    <row r="127" spans="1:7" x14ac:dyDescent="0.25">
      <c r="A127" s="149" t="s">
        <v>589</v>
      </c>
      <c r="B127" s="150" t="s">
        <v>588</v>
      </c>
      <c r="D127" s="150" t="s">
        <v>587</v>
      </c>
      <c r="F127" s="150" t="s">
        <v>586</v>
      </c>
      <c r="G127" s="150" t="s">
        <v>585</v>
      </c>
    </row>
    <row r="128" spans="1:7" x14ac:dyDescent="0.25">
      <c r="A128" s="149" t="s">
        <v>584</v>
      </c>
      <c r="B128" s="150" t="s">
        <v>583</v>
      </c>
      <c r="D128" s="140" t="s">
        <v>582</v>
      </c>
      <c r="F128" s="150" t="s">
        <v>581</v>
      </c>
      <c r="G128" s="150" t="s">
        <v>580</v>
      </c>
    </row>
    <row r="129" spans="1:7" x14ac:dyDescent="0.25">
      <c r="A129" s="150" t="s">
        <v>579</v>
      </c>
      <c r="B129" s="149" t="s">
        <v>578</v>
      </c>
      <c r="D129" s="149" t="s">
        <v>577</v>
      </c>
      <c r="F129" s="150" t="s">
        <v>576</v>
      </c>
      <c r="G129" s="150" t="s">
        <v>575</v>
      </c>
    </row>
    <row r="130" spans="1:7" x14ac:dyDescent="0.25">
      <c r="A130" s="150" t="s">
        <v>574</v>
      </c>
      <c r="B130" s="150" t="s">
        <v>573</v>
      </c>
      <c r="D130" s="149" t="s">
        <v>572</v>
      </c>
      <c r="F130" s="150" t="s">
        <v>571</v>
      </c>
      <c r="G130" s="140" t="s">
        <v>570</v>
      </c>
    </row>
    <row r="131" spans="1:7" x14ac:dyDescent="0.25">
      <c r="A131" s="140" t="s">
        <v>569</v>
      </c>
      <c r="B131" s="150" t="s">
        <v>568</v>
      </c>
      <c r="D131" s="150" t="s">
        <v>567</v>
      </c>
      <c r="F131" s="150" t="s">
        <v>566</v>
      </c>
      <c r="G131" s="149" t="s">
        <v>565</v>
      </c>
    </row>
    <row r="132" spans="1:7" x14ac:dyDescent="0.25">
      <c r="A132" s="149" t="s">
        <v>564</v>
      </c>
      <c r="B132" s="150" t="s">
        <v>563</v>
      </c>
      <c r="D132" s="150" t="s">
        <v>562</v>
      </c>
      <c r="F132" s="149" t="s">
        <v>561</v>
      </c>
      <c r="G132" s="149" t="s">
        <v>560</v>
      </c>
    </row>
    <row r="133" spans="1:7" x14ac:dyDescent="0.25">
      <c r="A133" s="149" t="s">
        <v>559</v>
      </c>
      <c r="B133" s="150" t="s">
        <v>558</v>
      </c>
      <c r="D133" s="150" t="s">
        <v>557</v>
      </c>
      <c r="F133" s="150" t="s">
        <v>556</v>
      </c>
      <c r="G133" s="149" t="s">
        <v>555</v>
      </c>
    </row>
    <row r="134" spans="1:7" x14ac:dyDescent="0.25">
      <c r="A134" s="149" t="s">
        <v>554</v>
      </c>
      <c r="B134" s="150" t="s">
        <v>553</v>
      </c>
      <c r="D134" s="149" t="s">
        <v>552</v>
      </c>
      <c r="F134" s="150" t="s">
        <v>551</v>
      </c>
    </row>
    <row r="135" spans="1:7" x14ac:dyDescent="0.25">
      <c r="A135" s="149" t="s">
        <v>550</v>
      </c>
      <c r="B135" s="150" t="s">
        <v>549</v>
      </c>
      <c r="D135" s="150" t="s">
        <v>548</v>
      </c>
      <c r="F135" s="150" t="s">
        <v>547</v>
      </c>
    </row>
    <row r="136" spans="1:7" x14ac:dyDescent="0.25">
      <c r="A136" s="35"/>
      <c r="B136" s="149" t="s">
        <v>546</v>
      </c>
      <c r="D136" s="150" t="s">
        <v>545</v>
      </c>
      <c r="F136" s="150" t="s">
        <v>544</v>
      </c>
    </row>
    <row r="137" spans="1:7" x14ac:dyDescent="0.25">
      <c r="A137" s="35"/>
      <c r="B137" s="140" t="s">
        <v>543</v>
      </c>
      <c r="D137" s="150" t="s">
        <v>542</v>
      </c>
      <c r="F137" s="150" t="s">
        <v>541</v>
      </c>
    </row>
    <row r="138" spans="1:7" x14ac:dyDescent="0.25">
      <c r="A138" s="35"/>
      <c r="B138" s="149" t="s">
        <v>540</v>
      </c>
      <c r="D138" s="149" t="s">
        <v>539</v>
      </c>
      <c r="F138" s="150" t="s">
        <v>538</v>
      </c>
    </row>
    <row r="139" spans="1:7" x14ac:dyDescent="0.25">
      <c r="A139" s="35"/>
      <c r="B139" s="150" t="s">
        <v>537</v>
      </c>
      <c r="D139" s="140" t="s">
        <v>536</v>
      </c>
      <c r="F139" s="150" t="s">
        <v>535</v>
      </c>
    </row>
    <row r="140" spans="1:7" x14ac:dyDescent="0.25">
      <c r="A140" s="35"/>
      <c r="B140" s="150" t="s">
        <v>534</v>
      </c>
      <c r="D140" s="149" t="s">
        <v>533</v>
      </c>
      <c r="F140" s="150" t="s">
        <v>532</v>
      </c>
    </row>
    <row r="141" spans="1:7" x14ac:dyDescent="0.25">
      <c r="A141" s="35"/>
      <c r="B141" s="150" t="s">
        <v>531</v>
      </c>
      <c r="D141" s="150" t="s">
        <v>530</v>
      </c>
      <c r="F141" s="150" t="s">
        <v>529</v>
      </c>
    </row>
    <row r="142" spans="1:7" x14ac:dyDescent="0.25">
      <c r="A142" s="35"/>
      <c r="B142" s="150" t="s">
        <v>528</v>
      </c>
      <c r="D142" s="149" t="s">
        <v>527</v>
      </c>
      <c r="F142" s="150" t="s">
        <v>526</v>
      </c>
    </row>
    <row r="143" spans="1:7" x14ac:dyDescent="0.25">
      <c r="A143" s="35"/>
      <c r="B143" s="149" t="s">
        <v>525</v>
      </c>
      <c r="D143" s="149" t="s">
        <v>524</v>
      </c>
      <c r="F143" s="149" t="s">
        <v>523</v>
      </c>
    </row>
    <row r="144" spans="1:7" x14ac:dyDescent="0.25">
      <c r="A144" s="35"/>
      <c r="B144" s="150" t="s">
        <v>522</v>
      </c>
      <c r="D144" s="149" t="s">
        <v>521</v>
      </c>
      <c r="F144" s="150" t="s">
        <v>520</v>
      </c>
    </row>
    <row r="145" spans="1:6" x14ac:dyDescent="0.25">
      <c r="A145" s="35"/>
      <c r="B145" s="149" t="s">
        <v>519</v>
      </c>
      <c r="D145" s="150" t="s">
        <v>518</v>
      </c>
      <c r="F145" s="150" t="s">
        <v>517</v>
      </c>
    </row>
    <row r="146" spans="1:6" x14ac:dyDescent="0.25">
      <c r="A146" s="35"/>
      <c r="B146" s="149" t="s">
        <v>516</v>
      </c>
      <c r="D146" s="150" t="s">
        <v>515</v>
      </c>
      <c r="F146" s="150" t="s">
        <v>514</v>
      </c>
    </row>
    <row r="147" spans="1:6" x14ac:dyDescent="0.25">
      <c r="A147" s="35"/>
      <c r="B147" s="150" t="s">
        <v>513</v>
      </c>
      <c r="D147" s="140" t="s">
        <v>512</v>
      </c>
      <c r="F147" s="150" t="s">
        <v>511</v>
      </c>
    </row>
    <row r="148" spans="1:6" x14ac:dyDescent="0.25">
      <c r="A148" s="35"/>
      <c r="B148" s="150" t="s">
        <v>510</v>
      </c>
      <c r="D148" s="149" t="s">
        <v>509</v>
      </c>
      <c r="F148" s="140" t="s">
        <v>508</v>
      </c>
    </row>
    <row r="149" spans="1:6" x14ac:dyDescent="0.25">
      <c r="A149" s="35"/>
      <c r="B149" s="149" t="s">
        <v>507</v>
      </c>
      <c r="D149" s="149" t="s">
        <v>506</v>
      </c>
      <c r="F149" s="149" t="s">
        <v>505</v>
      </c>
    </row>
    <row r="150" spans="1:6" x14ac:dyDescent="0.25">
      <c r="A150" s="35"/>
      <c r="B150" s="150" t="s">
        <v>504</v>
      </c>
      <c r="D150" s="150" t="s">
        <v>503</v>
      </c>
      <c r="F150" s="150" t="s">
        <v>502</v>
      </c>
    </row>
    <row r="151" spans="1:6" x14ac:dyDescent="0.25">
      <c r="A151" s="35"/>
      <c r="B151" s="150" t="s">
        <v>501</v>
      </c>
      <c r="D151" s="150" t="s">
        <v>500</v>
      </c>
      <c r="F151" s="150" t="s">
        <v>499</v>
      </c>
    </row>
    <row r="152" spans="1:6" x14ac:dyDescent="0.25">
      <c r="A152" s="35"/>
      <c r="B152" s="150" t="s">
        <v>498</v>
      </c>
      <c r="D152" s="150" t="s">
        <v>497</v>
      </c>
      <c r="F152" s="150" t="s">
        <v>496</v>
      </c>
    </row>
    <row r="153" spans="1:6" x14ac:dyDescent="0.25">
      <c r="A153" s="35"/>
      <c r="B153" s="150" t="s">
        <v>495</v>
      </c>
      <c r="D153" s="149" t="s">
        <v>494</v>
      </c>
      <c r="F153" s="150" t="s">
        <v>493</v>
      </c>
    </row>
    <row r="154" spans="1:6" x14ac:dyDescent="0.25">
      <c r="A154" s="35"/>
      <c r="B154" s="149" t="s">
        <v>492</v>
      </c>
      <c r="D154" s="150" t="s">
        <v>491</v>
      </c>
      <c r="F154" s="150" t="s">
        <v>490</v>
      </c>
    </row>
    <row r="155" spans="1:6" x14ac:dyDescent="0.25">
      <c r="A155" s="35"/>
      <c r="B155" s="150" t="s">
        <v>489</v>
      </c>
      <c r="D155" s="150" t="s">
        <v>488</v>
      </c>
      <c r="F155" s="149" t="s">
        <v>487</v>
      </c>
    </row>
    <row r="156" spans="1:6" x14ac:dyDescent="0.25">
      <c r="A156" s="35"/>
      <c r="B156" s="150" t="s">
        <v>486</v>
      </c>
      <c r="D156" s="150" t="s">
        <v>485</v>
      </c>
      <c r="F156" s="149" t="s">
        <v>484</v>
      </c>
    </row>
    <row r="157" spans="1:6" x14ac:dyDescent="0.25">
      <c r="A157" s="35"/>
      <c r="B157" s="150" t="s">
        <v>483</v>
      </c>
      <c r="F157" s="150" t="s">
        <v>482</v>
      </c>
    </row>
    <row r="158" spans="1:6" x14ac:dyDescent="0.25">
      <c r="A158" s="35"/>
      <c r="B158" s="150" t="s">
        <v>481</v>
      </c>
      <c r="F158" s="150" t="s">
        <v>480</v>
      </c>
    </row>
    <row r="159" spans="1:6" x14ac:dyDescent="0.25">
      <c r="A159" s="35"/>
      <c r="B159" s="150" t="s">
        <v>479</v>
      </c>
      <c r="F159" s="150" t="s">
        <v>478</v>
      </c>
    </row>
    <row r="160" spans="1:6" x14ac:dyDescent="0.25">
      <c r="A160" s="35"/>
      <c r="B160" s="150" t="s">
        <v>477</v>
      </c>
      <c r="F160" s="150" t="s">
        <v>476</v>
      </c>
    </row>
    <row r="161" spans="1:6" x14ac:dyDescent="0.25">
      <c r="A161" s="35"/>
      <c r="F161" s="150" t="s">
        <v>475</v>
      </c>
    </row>
    <row r="162" spans="1:6" x14ac:dyDescent="0.25">
      <c r="A162" s="35"/>
      <c r="F162" s="149" t="s">
        <v>474</v>
      </c>
    </row>
    <row r="163" spans="1:6" x14ac:dyDescent="0.25">
      <c r="A163" s="35"/>
      <c r="F163" s="149" t="s">
        <v>473</v>
      </c>
    </row>
    <row r="164" spans="1:6" x14ac:dyDescent="0.25">
      <c r="A164" s="35"/>
      <c r="F164" s="150" t="s">
        <v>472</v>
      </c>
    </row>
    <row r="165" spans="1:6" x14ac:dyDescent="0.25">
      <c r="A165" s="35"/>
      <c r="F165" s="150" t="s">
        <v>471</v>
      </c>
    </row>
    <row r="166" spans="1:6" x14ac:dyDescent="0.25">
      <c r="A166" s="35"/>
      <c r="F166" s="150" t="s">
        <v>470</v>
      </c>
    </row>
    <row r="167" spans="1:6" x14ac:dyDescent="0.25">
      <c r="A167" s="35"/>
      <c r="F167" s="150" t="s">
        <v>469</v>
      </c>
    </row>
    <row r="168" spans="1:6" x14ac:dyDescent="0.25">
      <c r="A168" s="35"/>
      <c r="F168" s="150" t="s">
        <v>468</v>
      </c>
    </row>
    <row r="169" spans="1:6" x14ac:dyDescent="0.25">
      <c r="A169" s="35"/>
      <c r="F169" s="149" t="s">
        <v>467</v>
      </c>
    </row>
    <row r="170" spans="1:6" x14ac:dyDescent="0.25">
      <c r="A170" s="35"/>
      <c r="F170" s="140" t="s">
        <v>466</v>
      </c>
    </row>
    <row r="171" spans="1:6" x14ac:dyDescent="0.25">
      <c r="A171" s="35"/>
      <c r="F171" s="149" t="s">
        <v>465</v>
      </c>
    </row>
    <row r="172" spans="1:6" x14ac:dyDescent="0.25">
      <c r="A172" s="35"/>
      <c r="F172" s="150" t="s">
        <v>464</v>
      </c>
    </row>
    <row r="173" spans="1:6" x14ac:dyDescent="0.25">
      <c r="A173" s="35"/>
      <c r="F173" s="150" t="s">
        <v>463</v>
      </c>
    </row>
    <row r="174" spans="1:6" x14ac:dyDescent="0.25">
      <c r="A174" s="35"/>
      <c r="F174" s="150" t="s">
        <v>462</v>
      </c>
    </row>
    <row r="175" spans="1:6" x14ac:dyDescent="0.25">
      <c r="A175" s="35"/>
      <c r="F175" s="149" t="s">
        <v>461</v>
      </c>
    </row>
    <row r="176" spans="1:6" x14ac:dyDescent="0.25">
      <c r="A176" s="35"/>
      <c r="F176" s="149" t="s">
        <v>460</v>
      </c>
    </row>
    <row r="177" spans="1:6" x14ac:dyDescent="0.25">
      <c r="A177" s="35"/>
      <c r="F177" s="150" t="s">
        <v>459</v>
      </c>
    </row>
    <row r="178" spans="1:6" x14ac:dyDescent="0.25">
      <c r="A178" s="35"/>
      <c r="F178" s="150" t="s">
        <v>458</v>
      </c>
    </row>
    <row r="179" spans="1:6" x14ac:dyDescent="0.25">
      <c r="A179" s="35"/>
      <c r="F179" s="149" t="s">
        <v>457</v>
      </c>
    </row>
    <row r="180" spans="1:6" x14ac:dyDescent="0.25">
      <c r="A180" s="35"/>
      <c r="F180" s="150" t="s">
        <v>456</v>
      </c>
    </row>
    <row r="181" spans="1:6" x14ac:dyDescent="0.25">
      <c r="A181" s="35"/>
      <c r="F181" s="150" t="s">
        <v>455</v>
      </c>
    </row>
    <row r="182" spans="1:6" x14ac:dyDescent="0.25">
      <c r="A182" s="35"/>
      <c r="F182" s="149" t="s">
        <v>454</v>
      </c>
    </row>
    <row r="183" spans="1:6" x14ac:dyDescent="0.25">
      <c r="A183" s="35"/>
      <c r="F183" s="140" t="s">
        <v>453</v>
      </c>
    </row>
    <row r="184" spans="1:6" x14ac:dyDescent="0.25">
      <c r="A184" s="35"/>
      <c r="F184" s="149" t="s">
        <v>452</v>
      </c>
    </row>
    <row r="185" spans="1:6" x14ac:dyDescent="0.25">
      <c r="A185" s="35"/>
      <c r="F185" s="150" t="s">
        <v>451</v>
      </c>
    </row>
    <row r="186" spans="1:6" x14ac:dyDescent="0.25">
      <c r="A186" s="35"/>
      <c r="F186" s="150" t="s">
        <v>450</v>
      </c>
    </row>
    <row r="187" spans="1:6" x14ac:dyDescent="0.25">
      <c r="A187" s="35"/>
      <c r="F187" s="150" t="s">
        <v>449</v>
      </c>
    </row>
    <row r="188" spans="1:6" x14ac:dyDescent="0.25">
      <c r="A188" s="35"/>
      <c r="F188" s="150" t="s">
        <v>448</v>
      </c>
    </row>
    <row r="189" spans="1:6" x14ac:dyDescent="0.25">
      <c r="A189" s="35"/>
      <c r="F189" s="150" t="s">
        <v>447</v>
      </c>
    </row>
    <row r="190" spans="1:6" x14ac:dyDescent="0.25">
      <c r="A190" s="35"/>
      <c r="F190" s="150" t="s">
        <v>446</v>
      </c>
    </row>
    <row r="191" spans="1:6" x14ac:dyDescent="0.25">
      <c r="A191" s="35"/>
      <c r="F191" s="150" t="s">
        <v>445</v>
      </c>
    </row>
    <row r="192" spans="1:6" x14ac:dyDescent="0.25">
      <c r="A192" s="35"/>
      <c r="F192" s="150" t="s">
        <v>444</v>
      </c>
    </row>
    <row r="193" spans="1:6" x14ac:dyDescent="0.25">
      <c r="A193" s="35"/>
      <c r="F193" s="150" t="s">
        <v>443</v>
      </c>
    </row>
    <row r="194" spans="1:6" x14ac:dyDescent="0.25">
      <c r="A194" s="148"/>
      <c r="F194" s="150" t="s">
        <v>442</v>
      </c>
    </row>
    <row r="195" spans="1:6" x14ac:dyDescent="0.25">
      <c r="A195" s="148"/>
      <c r="F195" s="149" t="s">
        <v>441</v>
      </c>
    </row>
    <row r="196" spans="1:6" x14ac:dyDescent="0.25">
      <c r="A196" s="148"/>
      <c r="F196" s="149" t="s">
        <v>440</v>
      </c>
    </row>
    <row r="197" spans="1:6" x14ac:dyDescent="0.25">
      <c r="A197" s="148"/>
      <c r="F197" s="149" t="s">
        <v>439</v>
      </c>
    </row>
    <row r="198" spans="1:6" x14ac:dyDescent="0.25">
      <c r="A198" s="148"/>
      <c r="F198" s="149" t="s">
        <v>438</v>
      </c>
    </row>
    <row r="199" spans="1:6" x14ac:dyDescent="0.25">
      <c r="A199" s="148"/>
      <c r="F199" s="149" t="s">
        <v>437</v>
      </c>
    </row>
    <row r="200" spans="1:6" x14ac:dyDescent="0.25">
      <c r="A200" s="148"/>
      <c r="F200" s="140" t="s">
        <v>436</v>
      </c>
    </row>
    <row r="201" spans="1:6" x14ac:dyDescent="0.25">
      <c r="A201" s="148"/>
      <c r="F201" s="149" t="s">
        <v>435</v>
      </c>
    </row>
    <row r="202" spans="1:6" x14ac:dyDescent="0.25">
      <c r="A202" s="148"/>
      <c r="F202" s="150" t="s">
        <v>434</v>
      </c>
    </row>
    <row r="203" spans="1:6" x14ac:dyDescent="0.25">
      <c r="A203" s="148"/>
      <c r="F203" s="150" t="s">
        <v>433</v>
      </c>
    </row>
    <row r="204" spans="1:6" x14ac:dyDescent="0.25">
      <c r="A204" s="151"/>
      <c r="F204" s="150" t="s">
        <v>432</v>
      </c>
    </row>
    <row r="205" spans="1:6" x14ac:dyDescent="0.25">
      <c r="A205" s="148"/>
      <c r="F205" s="150" t="s">
        <v>431</v>
      </c>
    </row>
    <row r="206" spans="1:6" x14ac:dyDescent="0.25">
      <c r="A206" s="148"/>
      <c r="F206" s="150" t="s">
        <v>430</v>
      </c>
    </row>
    <row r="207" spans="1:6" x14ac:dyDescent="0.25">
      <c r="A207" s="148"/>
      <c r="F207" s="150" t="s">
        <v>429</v>
      </c>
    </row>
    <row r="208" spans="1:6" x14ac:dyDescent="0.25">
      <c r="A208" s="148"/>
      <c r="F208" s="150" t="s">
        <v>428</v>
      </c>
    </row>
    <row r="209" spans="1:6" x14ac:dyDescent="0.25">
      <c r="A209" s="148"/>
      <c r="F209" s="149" t="s">
        <v>427</v>
      </c>
    </row>
    <row r="210" spans="1:6" x14ac:dyDescent="0.25">
      <c r="A210" s="148"/>
      <c r="F210" s="149" t="s">
        <v>426</v>
      </c>
    </row>
    <row r="211" spans="1:6" x14ac:dyDescent="0.25">
      <c r="A211" s="148"/>
      <c r="F211" s="150" t="s">
        <v>425</v>
      </c>
    </row>
    <row r="212" spans="1:6" x14ac:dyDescent="0.25">
      <c r="A212" s="148"/>
      <c r="F212" s="150" t="s">
        <v>424</v>
      </c>
    </row>
    <row r="213" spans="1:6" x14ac:dyDescent="0.25">
      <c r="A213" s="148"/>
      <c r="F213" s="149" t="s">
        <v>423</v>
      </c>
    </row>
    <row r="214" spans="1:6" x14ac:dyDescent="0.25">
      <c r="A214" s="148"/>
      <c r="F214" s="150" t="s">
        <v>422</v>
      </c>
    </row>
    <row r="215" spans="1:6" x14ac:dyDescent="0.25">
      <c r="A215" s="148"/>
      <c r="F215" s="150" t="s">
        <v>421</v>
      </c>
    </row>
    <row r="216" spans="1:6" x14ac:dyDescent="0.25">
      <c r="A216" s="148"/>
      <c r="F216" s="150" t="s">
        <v>420</v>
      </c>
    </row>
    <row r="217" spans="1:6" x14ac:dyDescent="0.25">
      <c r="A217" s="148"/>
      <c r="F217" s="150" t="s">
        <v>419</v>
      </c>
    </row>
    <row r="218" spans="1:6" x14ac:dyDescent="0.25">
      <c r="A218" s="148"/>
      <c r="F218" s="149" t="s">
        <v>418</v>
      </c>
    </row>
    <row r="219" spans="1:6" x14ac:dyDescent="0.25">
      <c r="A219" s="148"/>
      <c r="F219" s="150" t="s">
        <v>417</v>
      </c>
    </row>
    <row r="220" spans="1:6" x14ac:dyDescent="0.25">
      <c r="A220" s="148"/>
      <c r="F220" s="150" t="s">
        <v>416</v>
      </c>
    </row>
    <row r="221" spans="1:6" x14ac:dyDescent="0.25">
      <c r="A221" s="148"/>
      <c r="F221" s="150" t="s">
        <v>415</v>
      </c>
    </row>
    <row r="222" spans="1:6" x14ac:dyDescent="0.25">
      <c r="A222" s="148"/>
      <c r="F222" s="150" t="s">
        <v>414</v>
      </c>
    </row>
    <row r="223" spans="1:6" x14ac:dyDescent="0.25">
      <c r="A223" s="148"/>
      <c r="F223" s="140" t="s">
        <v>413</v>
      </c>
    </row>
    <row r="224" spans="1:6" x14ac:dyDescent="0.25">
      <c r="A224" s="148"/>
      <c r="F224" s="149" t="s">
        <v>412</v>
      </c>
    </row>
    <row r="225" spans="1:6" x14ac:dyDescent="0.25">
      <c r="A225" s="148"/>
      <c r="F225" s="150" t="s">
        <v>411</v>
      </c>
    </row>
    <row r="226" spans="1:6" x14ac:dyDescent="0.25">
      <c r="A226" s="148"/>
      <c r="F226" s="150" t="s">
        <v>410</v>
      </c>
    </row>
    <row r="227" spans="1:6" x14ac:dyDescent="0.25">
      <c r="A227" s="35"/>
      <c r="F227" s="150" t="s">
        <v>409</v>
      </c>
    </row>
    <row r="228" spans="1:6" x14ac:dyDescent="0.25">
      <c r="A228" s="35"/>
      <c r="F228" s="150" t="s">
        <v>408</v>
      </c>
    </row>
    <row r="229" spans="1:6" x14ac:dyDescent="0.25">
      <c r="A229" s="35"/>
      <c r="F229" s="150" t="s">
        <v>407</v>
      </c>
    </row>
    <row r="230" spans="1:6" x14ac:dyDescent="0.25">
      <c r="A230" s="35"/>
      <c r="F230" s="150" t="s">
        <v>406</v>
      </c>
    </row>
    <row r="231" spans="1:6" x14ac:dyDescent="0.25">
      <c r="A231" s="35"/>
      <c r="F231" s="150" t="s">
        <v>405</v>
      </c>
    </row>
    <row r="232" spans="1:6" x14ac:dyDescent="0.25">
      <c r="A232" s="35"/>
      <c r="F232" s="150" t="s">
        <v>404</v>
      </c>
    </row>
    <row r="233" spans="1:6" x14ac:dyDescent="0.25">
      <c r="A233" s="35"/>
      <c r="F233" s="150" t="s">
        <v>403</v>
      </c>
    </row>
    <row r="234" spans="1:6" x14ac:dyDescent="0.25">
      <c r="A234" s="35"/>
      <c r="F234" s="150" t="s">
        <v>402</v>
      </c>
    </row>
    <row r="235" spans="1:6" x14ac:dyDescent="0.25">
      <c r="A235" s="35"/>
      <c r="F235" s="150" t="s">
        <v>401</v>
      </c>
    </row>
    <row r="236" spans="1:6" x14ac:dyDescent="0.25">
      <c r="A236" s="35"/>
      <c r="F236" s="149" t="s">
        <v>400</v>
      </c>
    </row>
    <row r="237" spans="1:6" x14ac:dyDescent="0.25">
      <c r="A237" s="35"/>
      <c r="F237" s="150" t="s">
        <v>399</v>
      </c>
    </row>
    <row r="238" spans="1:6" x14ac:dyDescent="0.25">
      <c r="A238" s="35"/>
      <c r="F238" s="150" t="s">
        <v>398</v>
      </c>
    </row>
    <row r="239" spans="1:6" x14ac:dyDescent="0.25">
      <c r="A239" s="35"/>
      <c r="F239" s="150" t="s">
        <v>397</v>
      </c>
    </row>
    <row r="240" spans="1:6" x14ac:dyDescent="0.25">
      <c r="A240" s="35"/>
      <c r="F240" s="150" t="s">
        <v>396</v>
      </c>
    </row>
    <row r="241" spans="1:6" x14ac:dyDescent="0.25">
      <c r="A241" s="35"/>
      <c r="F241" s="150" t="s">
        <v>395</v>
      </c>
    </row>
    <row r="242" spans="1:6" x14ac:dyDescent="0.25">
      <c r="A242" s="35"/>
      <c r="F242" s="150" t="s">
        <v>394</v>
      </c>
    </row>
    <row r="243" spans="1:6" x14ac:dyDescent="0.25">
      <c r="A243" s="35"/>
      <c r="F243" s="149" t="s">
        <v>393</v>
      </c>
    </row>
    <row r="244" spans="1:6" x14ac:dyDescent="0.25">
      <c r="A244" s="35"/>
      <c r="F244" s="150" t="s">
        <v>392</v>
      </c>
    </row>
    <row r="245" spans="1:6" x14ac:dyDescent="0.25">
      <c r="A245" s="35"/>
      <c r="F245" s="150" t="s">
        <v>391</v>
      </c>
    </row>
    <row r="246" spans="1:6" x14ac:dyDescent="0.25">
      <c r="A246" s="35"/>
      <c r="F246" s="150" t="s">
        <v>390</v>
      </c>
    </row>
    <row r="247" spans="1:6" x14ac:dyDescent="0.25">
      <c r="A247" s="35"/>
      <c r="F247" s="150" t="s">
        <v>389</v>
      </c>
    </row>
    <row r="248" spans="1:6" x14ac:dyDescent="0.25">
      <c r="A248" s="35"/>
      <c r="F248" s="150" t="s">
        <v>388</v>
      </c>
    </row>
    <row r="249" spans="1:6" x14ac:dyDescent="0.25">
      <c r="A249" s="35"/>
      <c r="F249" s="150" t="s">
        <v>387</v>
      </c>
    </row>
    <row r="250" spans="1:6" x14ac:dyDescent="0.25">
      <c r="A250" s="35"/>
      <c r="F250" s="150" t="s">
        <v>386</v>
      </c>
    </row>
    <row r="251" spans="1:6" x14ac:dyDescent="0.25">
      <c r="A251" s="35"/>
      <c r="F251" s="140" t="s">
        <v>385</v>
      </c>
    </row>
    <row r="252" spans="1:6" x14ac:dyDescent="0.25">
      <c r="A252" s="35"/>
      <c r="F252" s="149" t="s">
        <v>384</v>
      </c>
    </row>
    <row r="253" spans="1:6" x14ac:dyDescent="0.25">
      <c r="A253" s="35"/>
      <c r="F253" s="149" t="s">
        <v>383</v>
      </c>
    </row>
    <row r="254" spans="1:6" x14ac:dyDescent="0.25">
      <c r="A254" s="35"/>
      <c r="F254" s="150" t="s">
        <v>382</v>
      </c>
    </row>
    <row r="255" spans="1:6" x14ac:dyDescent="0.25">
      <c r="A255" s="35"/>
      <c r="F255" s="150" t="s">
        <v>381</v>
      </c>
    </row>
    <row r="256" spans="1:6" x14ac:dyDescent="0.25">
      <c r="A256" s="35"/>
      <c r="F256" s="150" t="s">
        <v>380</v>
      </c>
    </row>
    <row r="257" spans="1:6" x14ac:dyDescent="0.25">
      <c r="A257" s="35"/>
      <c r="F257" s="149" t="s">
        <v>379</v>
      </c>
    </row>
    <row r="258" spans="1:6" x14ac:dyDescent="0.25">
      <c r="A258" s="35"/>
      <c r="F258" s="149" t="s">
        <v>378</v>
      </c>
    </row>
    <row r="259" spans="1:6" x14ac:dyDescent="0.25">
      <c r="A259" s="35"/>
      <c r="F259" s="150" t="s">
        <v>377</v>
      </c>
    </row>
    <row r="260" spans="1:6" x14ac:dyDescent="0.25">
      <c r="A260" s="35"/>
      <c r="F260" s="150" t="s">
        <v>376</v>
      </c>
    </row>
    <row r="261" spans="1:6" x14ac:dyDescent="0.25">
      <c r="A261" s="35"/>
      <c r="F261" s="149" t="s">
        <v>375</v>
      </c>
    </row>
    <row r="262" spans="1:6" x14ac:dyDescent="0.25">
      <c r="A262" s="35"/>
    </row>
    <row r="263" spans="1:6" x14ac:dyDescent="0.25">
      <c r="A263" s="35"/>
    </row>
    <row r="264" spans="1:6" x14ac:dyDescent="0.25">
      <c r="A264" s="35"/>
    </row>
    <row r="265" spans="1:6" x14ac:dyDescent="0.25">
      <c r="A265" s="35"/>
    </row>
    <row r="266" spans="1:6" x14ac:dyDescent="0.25">
      <c r="A266" s="35"/>
    </row>
    <row r="267" spans="1:6" x14ac:dyDescent="0.25">
      <c r="A267" s="35"/>
    </row>
    <row r="268" spans="1:6" x14ac:dyDescent="0.25">
      <c r="A268" s="35"/>
    </row>
    <row r="269" spans="1:6" x14ac:dyDescent="0.25">
      <c r="A269" s="35"/>
    </row>
    <row r="270" spans="1:6" x14ac:dyDescent="0.25">
      <c r="A270" s="35"/>
    </row>
    <row r="271" spans="1:6" x14ac:dyDescent="0.25">
      <c r="A271" s="35"/>
    </row>
    <row r="272" spans="1:6" x14ac:dyDescent="0.25">
      <c r="A272" s="35"/>
    </row>
    <row r="273" spans="1:3" x14ac:dyDescent="0.25">
      <c r="A273" s="35"/>
      <c r="C273" s="141"/>
    </row>
    <row r="274" spans="1:3" x14ac:dyDescent="0.25">
      <c r="A274" s="35"/>
      <c r="C274" s="141"/>
    </row>
    <row r="275" spans="1:3" x14ac:dyDescent="0.25">
      <c r="A275" s="35"/>
      <c r="C275" s="141"/>
    </row>
    <row r="276" spans="1:3" x14ac:dyDescent="0.25">
      <c r="A276" s="35"/>
      <c r="C276" s="141"/>
    </row>
    <row r="277" spans="1:3" x14ac:dyDescent="0.25">
      <c r="A277" s="35"/>
      <c r="C277" s="141"/>
    </row>
    <row r="278" spans="1:3" x14ac:dyDescent="0.25">
      <c r="A278" s="35"/>
      <c r="C278" s="141"/>
    </row>
    <row r="279" spans="1:3" x14ac:dyDescent="0.25">
      <c r="A279" s="35"/>
      <c r="C279" s="141"/>
    </row>
    <row r="280" spans="1:3" x14ac:dyDescent="0.25">
      <c r="A280" s="35"/>
      <c r="C280" s="141"/>
    </row>
    <row r="281" spans="1:3" x14ac:dyDescent="0.25">
      <c r="A281" s="35"/>
      <c r="C281" s="141"/>
    </row>
    <row r="282" spans="1:3" x14ac:dyDescent="0.25">
      <c r="A282" s="35"/>
      <c r="C282" s="141"/>
    </row>
    <row r="283" spans="1:3" x14ac:dyDescent="0.25">
      <c r="A283" s="35"/>
      <c r="C283" s="141"/>
    </row>
    <row r="284" spans="1:3" x14ac:dyDescent="0.25">
      <c r="A284" s="147"/>
      <c r="C284" s="141"/>
    </row>
    <row r="285" spans="1:3" x14ac:dyDescent="0.25">
      <c r="A285" s="35"/>
      <c r="C285" s="141"/>
    </row>
    <row r="286" spans="1:3" x14ac:dyDescent="0.25">
      <c r="A286" s="35"/>
      <c r="C286" s="141"/>
    </row>
    <row r="287" spans="1:3" x14ac:dyDescent="0.25">
      <c r="A287" s="35"/>
      <c r="C287" s="141"/>
    </row>
    <row r="288" spans="1:3" x14ac:dyDescent="0.25">
      <c r="A288" s="35"/>
      <c r="C288" s="141"/>
    </row>
    <row r="289" spans="1:3" x14ac:dyDescent="0.25">
      <c r="A289" s="35"/>
      <c r="C289" s="141"/>
    </row>
    <row r="290" spans="1:3" x14ac:dyDescent="0.25">
      <c r="A290" s="35"/>
      <c r="C290" s="141"/>
    </row>
    <row r="291" spans="1:3" x14ac:dyDescent="0.25">
      <c r="A291" s="145"/>
      <c r="C291" s="141"/>
    </row>
    <row r="292" spans="1:3" x14ac:dyDescent="0.25">
      <c r="A292" s="35"/>
      <c r="C292" s="141"/>
    </row>
    <row r="293" spans="1:3" x14ac:dyDescent="0.25">
      <c r="A293" s="35"/>
      <c r="C293" s="141"/>
    </row>
    <row r="294" spans="1:3" x14ac:dyDescent="0.25">
      <c r="A294" s="35"/>
      <c r="C294" s="141"/>
    </row>
    <row r="295" spans="1:3" x14ac:dyDescent="0.25">
      <c r="A295" s="35"/>
      <c r="C295" s="141"/>
    </row>
    <row r="296" spans="1:3" x14ac:dyDescent="0.25">
      <c r="A296" s="35"/>
      <c r="C296" s="141"/>
    </row>
    <row r="297" spans="1:3" x14ac:dyDescent="0.25">
      <c r="A297" s="35"/>
      <c r="C297" s="141"/>
    </row>
    <row r="298" spans="1:3" x14ac:dyDescent="0.25">
      <c r="A298" s="35"/>
      <c r="C298" s="141"/>
    </row>
    <row r="299" spans="1:3" x14ac:dyDescent="0.25">
      <c r="A299" s="35"/>
      <c r="C299" s="141"/>
    </row>
    <row r="300" spans="1:3" x14ac:dyDescent="0.25">
      <c r="A300" s="35"/>
      <c r="C300" s="141"/>
    </row>
    <row r="301" spans="1:3" x14ac:dyDescent="0.25">
      <c r="A301" s="35"/>
      <c r="C301" s="141"/>
    </row>
    <row r="302" spans="1:3" x14ac:dyDescent="0.25">
      <c r="A302" s="35"/>
      <c r="C302" s="141"/>
    </row>
    <row r="303" spans="1:3" x14ac:dyDescent="0.25">
      <c r="A303" s="35"/>
      <c r="C303" s="141"/>
    </row>
    <row r="304" spans="1:3" x14ac:dyDescent="0.25">
      <c r="A304" s="35"/>
      <c r="C304" s="141"/>
    </row>
    <row r="305" spans="1:3" x14ac:dyDescent="0.25">
      <c r="A305" s="35"/>
      <c r="C305" s="141"/>
    </row>
    <row r="306" spans="1:3" x14ac:dyDescent="0.25">
      <c r="A306" s="35"/>
      <c r="C306" s="141"/>
    </row>
    <row r="307" spans="1:3" x14ac:dyDescent="0.25">
      <c r="A307" s="35"/>
      <c r="C307" s="141"/>
    </row>
    <row r="308" spans="1:3" x14ac:dyDescent="0.25">
      <c r="A308" s="35"/>
      <c r="C308" s="141"/>
    </row>
    <row r="309" spans="1:3" x14ac:dyDescent="0.25">
      <c r="A309" s="35"/>
      <c r="C309" s="141"/>
    </row>
    <row r="310" spans="1:3" x14ac:dyDescent="0.25">
      <c r="A310" s="145"/>
      <c r="C310" s="141"/>
    </row>
    <row r="311" spans="1:3" x14ac:dyDescent="0.25">
      <c r="A311" s="35"/>
      <c r="C311" s="141"/>
    </row>
    <row r="312" spans="1:3" x14ac:dyDescent="0.25">
      <c r="A312" s="35"/>
      <c r="C312" s="141"/>
    </row>
    <row r="313" spans="1:3" x14ac:dyDescent="0.25">
      <c r="A313" s="35"/>
      <c r="C313" s="141"/>
    </row>
    <row r="314" spans="1:3" x14ac:dyDescent="0.25">
      <c r="A314" s="35"/>
      <c r="C314" s="141"/>
    </row>
    <row r="315" spans="1:3" x14ac:dyDescent="0.25">
      <c r="A315" s="35"/>
      <c r="C315" s="141"/>
    </row>
    <row r="316" spans="1:3" x14ac:dyDescent="0.25">
      <c r="A316" s="35"/>
      <c r="C316" s="141"/>
    </row>
    <row r="317" spans="1:3" x14ac:dyDescent="0.25">
      <c r="A317" s="35"/>
      <c r="C317" s="141"/>
    </row>
    <row r="318" spans="1:3" x14ac:dyDescent="0.25">
      <c r="A318" s="35"/>
      <c r="C318" s="141"/>
    </row>
    <row r="319" spans="1:3" x14ac:dyDescent="0.25">
      <c r="A319" s="35"/>
      <c r="C319" s="141"/>
    </row>
    <row r="320" spans="1:3" x14ac:dyDescent="0.25">
      <c r="A320" s="35"/>
      <c r="C320" s="141"/>
    </row>
    <row r="321" spans="1:3" x14ac:dyDescent="0.25">
      <c r="A321" s="35"/>
      <c r="C321" s="141"/>
    </row>
    <row r="322" spans="1:3" x14ac:dyDescent="0.25">
      <c r="A322" s="148"/>
      <c r="C322" s="141"/>
    </row>
    <row r="323" spans="1:3" x14ac:dyDescent="0.25">
      <c r="A323" s="35"/>
      <c r="C323" s="141"/>
    </row>
    <row r="324" spans="1:3" x14ac:dyDescent="0.25">
      <c r="A324" s="35"/>
      <c r="C324" s="141"/>
    </row>
    <row r="325" spans="1:3" x14ac:dyDescent="0.25">
      <c r="A325" s="148"/>
      <c r="C325" s="141"/>
    </row>
    <row r="326" spans="1:3" x14ac:dyDescent="0.25">
      <c r="A326" s="35"/>
      <c r="C326" s="141"/>
    </row>
    <row r="327" spans="1:3" x14ac:dyDescent="0.25">
      <c r="A327" s="35"/>
      <c r="C327" s="141"/>
    </row>
    <row r="328" spans="1:3" x14ac:dyDescent="0.25">
      <c r="A328" s="35"/>
      <c r="C328" s="141"/>
    </row>
    <row r="329" spans="1:3" x14ac:dyDescent="0.25">
      <c r="A329" s="35"/>
      <c r="C329" s="141"/>
    </row>
    <row r="330" spans="1:3" x14ac:dyDescent="0.25">
      <c r="A330" s="35"/>
      <c r="C330" s="141"/>
    </row>
    <row r="331" spans="1:3" x14ac:dyDescent="0.25">
      <c r="A331" s="35"/>
      <c r="C331" s="141"/>
    </row>
    <row r="332" spans="1:3" x14ac:dyDescent="0.25">
      <c r="A332" s="35"/>
      <c r="C332" s="141"/>
    </row>
    <row r="333" spans="1:3" x14ac:dyDescent="0.25">
      <c r="A333" s="35"/>
      <c r="C333" s="141"/>
    </row>
    <row r="334" spans="1:3" x14ac:dyDescent="0.25">
      <c r="A334" s="35"/>
      <c r="C334" s="141"/>
    </row>
    <row r="335" spans="1:3" x14ac:dyDescent="0.25">
      <c r="A335" s="35"/>
      <c r="C335" s="141"/>
    </row>
    <row r="336" spans="1:3" x14ac:dyDescent="0.25">
      <c r="A336" s="35"/>
      <c r="C336" s="141"/>
    </row>
    <row r="337" spans="1:3" x14ac:dyDescent="0.25">
      <c r="A337" s="35"/>
      <c r="C337" s="141"/>
    </row>
    <row r="338" spans="1:3" x14ac:dyDescent="0.25">
      <c r="A338" s="35"/>
      <c r="C338" s="141"/>
    </row>
    <row r="339" spans="1:3" x14ac:dyDescent="0.25">
      <c r="A339" s="35"/>
      <c r="C339" s="141"/>
    </row>
    <row r="340" spans="1:3" x14ac:dyDescent="0.25">
      <c r="A340" s="35"/>
      <c r="C340" s="141"/>
    </row>
    <row r="341" spans="1:3" x14ac:dyDescent="0.25">
      <c r="A341" s="35"/>
      <c r="C341" s="141"/>
    </row>
    <row r="342" spans="1:3" x14ac:dyDescent="0.25">
      <c r="A342" s="35"/>
      <c r="C342" s="141"/>
    </row>
    <row r="343" spans="1:3" x14ac:dyDescent="0.25">
      <c r="A343" s="35"/>
      <c r="C343" s="141"/>
    </row>
    <row r="344" spans="1:3" x14ac:dyDescent="0.25">
      <c r="A344" s="35"/>
      <c r="C344" s="141"/>
    </row>
    <row r="345" spans="1:3" x14ac:dyDescent="0.25">
      <c r="A345" s="35"/>
      <c r="C345" s="141"/>
    </row>
    <row r="346" spans="1:3" x14ac:dyDescent="0.25">
      <c r="A346" s="35"/>
      <c r="C346" s="141"/>
    </row>
    <row r="347" spans="1:3" x14ac:dyDescent="0.25">
      <c r="A347" s="35"/>
      <c r="C347" s="141"/>
    </row>
    <row r="348" spans="1:3" x14ac:dyDescent="0.25">
      <c r="A348" s="35"/>
      <c r="C348" s="141"/>
    </row>
    <row r="349" spans="1:3" x14ac:dyDescent="0.25">
      <c r="A349" s="35"/>
      <c r="C349" s="141"/>
    </row>
    <row r="350" spans="1:3" x14ac:dyDescent="0.25">
      <c r="A350" s="35"/>
      <c r="C350" s="141"/>
    </row>
    <row r="351" spans="1:3" x14ac:dyDescent="0.25">
      <c r="A351" s="35"/>
      <c r="C351" s="141"/>
    </row>
    <row r="352" spans="1:3" x14ac:dyDescent="0.25">
      <c r="A352" s="35"/>
      <c r="C352" s="141"/>
    </row>
    <row r="353" spans="1:3" x14ac:dyDescent="0.25">
      <c r="A353" s="35"/>
      <c r="C353" s="141"/>
    </row>
    <row r="354" spans="1:3" x14ac:dyDescent="0.25">
      <c r="A354" s="35"/>
      <c r="C354" s="141"/>
    </row>
    <row r="355" spans="1:3" x14ac:dyDescent="0.25">
      <c r="A355" s="35"/>
      <c r="C355" s="141"/>
    </row>
    <row r="356" spans="1:3" x14ac:dyDescent="0.25">
      <c r="A356" s="35"/>
      <c r="C356" s="141"/>
    </row>
    <row r="357" spans="1:3" x14ac:dyDescent="0.25">
      <c r="A357" s="35"/>
      <c r="C357" s="141"/>
    </row>
    <row r="358" spans="1:3" x14ac:dyDescent="0.25">
      <c r="A358" s="35"/>
      <c r="C358" s="141"/>
    </row>
    <row r="359" spans="1:3" x14ac:dyDescent="0.25">
      <c r="A359" s="35"/>
      <c r="C359" s="141"/>
    </row>
    <row r="360" spans="1:3" x14ac:dyDescent="0.25">
      <c r="A360" s="35"/>
      <c r="C360" s="141"/>
    </row>
    <row r="361" spans="1:3" x14ac:dyDescent="0.25">
      <c r="A361" s="35"/>
      <c r="C361" s="141"/>
    </row>
    <row r="362" spans="1:3" x14ac:dyDescent="0.25">
      <c r="A362" s="35"/>
      <c r="C362" s="141"/>
    </row>
    <row r="363" spans="1:3" x14ac:dyDescent="0.25">
      <c r="A363" s="35"/>
      <c r="C363" s="141"/>
    </row>
    <row r="364" spans="1:3" x14ac:dyDescent="0.25">
      <c r="A364" s="35"/>
      <c r="C364" s="141"/>
    </row>
    <row r="365" spans="1:3" x14ac:dyDescent="0.25">
      <c r="A365" s="35"/>
      <c r="C365" s="141"/>
    </row>
    <row r="366" spans="1:3" x14ac:dyDescent="0.25">
      <c r="A366" s="35"/>
      <c r="C366" s="141"/>
    </row>
    <row r="367" spans="1:3" x14ac:dyDescent="0.25">
      <c r="A367" s="35"/>
      <c r="C367" s="141"/>
    </row>
    <row r="368" spans="1:3" x14ac:dyDescent="0.25">
      <c r="A368" s="35"/>
      <c r="C368" s="141"/>
    </row>
    <row r="369" spans="1:3" x14ac:dyDescent="0.25">
      <c r="A369" s="35"/>
      <c r="C369" s="141"/>
    </row>
    <row r="370" spans="1:3" x14ac:dyDescent="0.25">
      <c r="A370" s="35"/>
      <c r="C370" s="141"/>
    </row>
    <row r="371" spans="1:3" x14ac:dyDescent="0.25">
      <c r="A371" s="35"/>
      <c r="C371" s="141"/>
    </row>
    <row r="372" spans="1:3" x14ac:dyDescent="0.25">
      <c r="A372" s="35"/>
      <c r="C372" s="141"/>
    </row>
    <row r="373" spans="1:3" x14ac:dyDescent="0.25">
      <c r="A373" s="35"/>
      <c r="C373" s="141"/>
    </row>
    <row r="374" spans="1:3" x14ac:dyDescent="0.25">
      <c r="A374" s="35"/>
      <c r="C374" s="141"/>
    </row>
    <row r="375" spans="1:3" x14ac:dyDescent="0.25">
      <c r="A375" s="35"/>
      <c r="C375" s="141"/>
    </row>
    <row r="376" spans="1:3" x14ac:dyDescent="0.25">
      <c r="A376" s="35"/>
      <c r="C376" s="141"/>
    </row>
    <row r="377" spans="1:3" x14ac:dyDescent="0.25">
      <c r="A377" s="35"/>
      <c r="C377" s="141"/>
    </row>
    <row r="378" spans="1:3" x14ac:dyDescent="0.25">
      <c r="A378" s="35"/>
      <c r="C378" s="141"/>
    </row>
    <row r="379" spans="1:3" x14ac:dyDescent="0.25">
      <c r="A379" s="35"/>
      <c r="C379" s="141"/>
    </row>
    <row r="380" spans="1:3" x14ac:dyDescent="0.25">
      <c r="A380" s="148"/>
      <c r="C380" s="141"/>
    </row>
    <row r="381" spans="1:3" x14ac:dyDescent="0.25">
      <c r="A381" s="148"/>
      <c r="C381" s="141"/>
    </row>
    <row r="382" spans="1:3" x14ac:dyDescent="0.25">
      <c r="A382" s="35"/>
      <c r="C382" s="141"/>
    </row>
    <row r="383" spans="1:3" x14ac:dyDescent="0.25">
      <c r="A383" s="35"/>
      <c r="C383" s="141"/>
    </row>
    <row r="384" spans="1:3" x14ac:dyDescent="0.25">
      <c r="A384" s="35"/>
      <c r="C384" s="141"/>
    </row>
    <row r="385" spans="1:3" x14ac:dyDescent="0.25">
      <c r="A385" s="148"/>
      <c r="C385" s="141"/>
    </row>
    <row r="386" spans="1:3" x14ac:dyDescent="0.25">
      <c r="A386" s="148"/>
      <c r="C386" s="141"/>
    </row>
    <row r="387" spans="1:3" x14ac:dyDescent="0.25">
      <c r="A387" s="148"/>
      <c r="C387" s="141"/>
    </row>
    <row r="388" spans="1:3" x14ac:dyDescent="0.25">
      <c r="A388" s="148"/>
      <c r="C388" s="141"/>
    </row>
    <row r="389" spans="1:3" x14ac:dyDescent="0.25">
      <c r="A389" s="148"/>
      <c r="C389" s="141"/>
    </row>
    <row r="390" spans="1:3" x14ac:dyDescent="0.25">
      <c r="A390" s="35"/>
      <c r="C390" s="141"/>
    </row>
    <row r="391" spans="1:3" x14ac:dyDescent="0.25">
      <c r="A391" s="147"/>
      <c r="C391" s="141"/>
    </row>
    <row r="392" spans="1:3" x14ac:dyDescent="0.25">
      <c r="A392" s="35"/>
      <c r="C392" s="141"/>
    </row>
    <row r="393" spans="1:3" x14ac:dyDescent="0.25">
      <c r="A393" s="35"/>
      <c r="C393" s="141"/>
    </row>
    <row r="394" spans="1:3" x14ac:dyDescent="0.25">
      <c r="A394" s="35"/>
      <c r="C394" s="141"/>
    </row>
    <row r="395" spans="1:3" x14ac:dyDescent="0.25">
      <c r="A395" s="35"/>
      <c r="C395" s="141"/>
    </row>
    <row r="396" spans="1:3" x14ac:dyDescent="0.25">
      <c r="A396" s="35"/>
      <c r="C396" s="141"/>
    </row>
    <row r="397" spans="1:3" x14ac:dyDescent="0.25">
      <c r="A397" s="35"/>
      <c r="C397" s="141"/>
    </row>
    <row r="398" spans="1:3" x14ac:dyDescent="0.25">
      <c r="A398" s="35"/>
      <c r="C398" s="141"/>
    </row>
    <row r="399" spans="1:3" x14ac:dyDescent="0.25">
      <c r="A399" s="35"/>
      <c r="C399" s="141"/>
    </row>
    <row r="400" spans="1:3" x14ac:dyDescent="0.25">
      <c r="A400" s="35"/>
      <c r="C400" s="141"/>
    </row>
    <row r="401" spans="1:3" x14ac:dyDescent="0.25">
      <c r="A401" s="35"/>
      <c r="C401" s="141"/>
    </row>
    <row r="402" spans="1:3" x14ac:dyDescent="0.25">
      <c r="A402" s="35"/>
      <c r="C402" s="141"/>
    </row>
    <row r="403" spans="1:3" x14ac:dyDescent="0.25">
      <c r="A403" s="35"/>
      <c r="C403" s="141"/>
    </row>
    <row r="404" spans="1:3" x14ac:dyDescent="0.25">
      <c r="A404" s="35"/>
      <c r="C404" s="141"/>
    </row>
    <row r="405" spans="1:3" x14ac:dyDescent="0.25">
      <c r="A405" s="35"/>
      <c r="C405" s="141"/>
    </row>
    <row r="406" spans="1:3" x14ac:dyDescent="0.25">
      <c r="A406" s="35"/>
      <c r="C406" s="141"/>
    </row>
    <row r="407" spans="1:3" x14ac:dyDescent="0.25">
      <c r="A407" s="35"/>
      <c r="C407" s="141"/>
    </row>
    <row r="408" spans="1:3" x14ac:dyDescent="0.25">
      <c r="A408" s="35"/>
      <c r="C408" s="141"/>
    </row>
    <row r="409" spans="1:3" x14ac:dyDescent="0.25">
      <c r="A409" s="35"/>
      <c r="C409" s="141"/>
    </row>
    <row r="410" spans="1:3" x14ac:dyDescent="0.25">
      <c r="A410" s="35"/>
      <c r="C410" s="141"/>
    </row>
    <row r="411" spans="1:3" x14ac:dyDescent="0.25">
      <c r="A411" s="35"/>
      <c r="C411" s="141"/>
    </row>
    <row r="412" spans="1:3" x14ac:dyDescent="0.25">
      <c r="A412" s="35"/>
      <c r="C412" s="141"/>
    </row>
    <row r="413" spans="1:3" x14ac:dyDescent="0.25">
      <c r="A413" s="35"/>
      <c r="C413" s="141"/>
    </row>
    <row r="414" spans="1:3" x14ac:dyDescent="0.25">
      <c r="A414" s="35"/>
      <c r="C414" s="141"/>
    </row>
    <row r="415" spans="1:3" x14ac:dyDescent="0.25">
      <c r="A415" s="35"/>
      <c r="C415" s="141"/>
    </row>
    <row r="416" spans="1:3" x14ac:dyDescent="0.25">
      <c r="A416" s="35"/>
      <c r="C416" s="141"/>
    </row>
    <row r="417" spans="1:3" x14ac:dyDescent="0.25">
      <c r="A417" s="35"/>
      <c r="C417" s="141"/>
    </row>
    <row r="418" spans="1:3" x14ac:dyDescent="0.25">
      <c r="A418" s="35"/>
      <c r="C418" s="141"/>
    </row>
    <row r="419" spans="1:3" x14ac:dyDescent="0.25">
      <c r="A419" s="35"/>
      <c r="C419" s="141"/>
    </row>
    <row r="420" spans="1:3" x14ac:dyDescent="0.25">
      <c r="A420" s="35"/>
      <c r="C420" s="141"/>
    </row>
    <row r="421" spans="1:3" x14ac:dyDescent="0.25">
      <c r="A421" s="35"/>
      <c r="C421" s="141"/>
    </row>
    <row r="422" spans="1:3" x14ac:dyDescent="0.25">
      <c r="A422" s="35"/>
      <c r="C422" s="141"/>
    </row>
    <row r="423" spans="1:3" x14ac:dyDescent="0.25">
      <c r="A423" s="35"/>
      <c r="C423" s="141"/>
    </row>
    <row r="424" spans="1:3" x14ac:dyDescent="0.25">
      <c r="A424" s="35"/>
      <c r="C424" s="141"/>
    </row>
    <row r="425" spans="1:3" x14ac:dyDescent="0.25">
      <c r="A425" s="35"/>
      <c r="C425" s="141"/>
    </row>
    <row r="426" spans="1:3" x14ac:dyDescent="0.25">
      <c r="A426" s="35"/>
      <c r="C426" s="141"/>
    </row>
    <row r="427" spans="1:3" x14ac:dyDescent="0.25">
      <c r="A427" s="35"/>
      <c r="C427" s="141"/>
    </row>
    <row r="428" spans="1:3" x14ac:dyDescent="0.25">
      <c r="A428" s="35"/>
      <c r="C428" s="141"/>
    </row>
    <row r="429" spans="1:3" x14ac:dyDescent="0.25">
      <c r="A429" s="35"/>
      <c r="C429" s="141"/>
    </row>
    <row r="430" spans="1:3" x14ac:dyDescent="0.25">
      <c r="A430" s="35"/>
      <c r="C430" s="141"/>
    </row>
    <row r="431" spans="1:3" x14ac:dyDescent="0.25">
      <c r="A431" s="35"/>
      <c r="C431" s="141"/>
    </row>
    <row r="432" spans="1:3" x14ac:dyDescent="0.25">
      <c r="A432" s="35"/>
      <c r="C432" s="141"/>
    </row>
    <row r="433" spans="1:3" x14ac:dyDescent="0.25">
      <c r="A433" s="35"/>
      <c r="C433" s="141"/>
    </row>
    <row r="434" spans="1:3" x14ac:dyDescent="0.25">
      <c r="A434" s="35"/>
      <c r="C434" s="141"/>
    </row>
    <row r="435" spans="1:3" x14ac:dyDescent="0.25">
      <c r="A435" s="35"/>
      <c r="C435" s="141"/>
    </row>
    <row r="436" spans="1:3" x14ac:dyDescent="0.25">
      <c r="A436" s="35"/>
      <c r="C436" s="141"/>
    </row>
    <row r="437" spans="1:3" x14ac:dyDescent="0.25">
      <c r="A437" s="35"/>
      <c r="C437" s="141"/>
    </row>
    <row r="438" spans="1:3" x14ac:dyDescent="0.25">
      <c r="A438" s="35"/>
      <c r="C438" s="141"/>
    </row>
    <row r="439" spans="1:3" x14ac:dyDescent="0.25">
      <c r="A439" s="148"/>
      <c r="C439" s="141"/>
    </row>
    <row r="440" spans="1:3" x14ac:dyDescent="0.25">
      <c r="A440" s="148"/>
      <c r="C440" s="141"/>
    </row>
    <row r="441" spans="1:3" x14ac:dyDescent="0.25">
      <c r="A441" s="35"/>
      <c r="C441" s="141"/>
    </row>
    <row r="442" spans="1:3" x14ac:dyDescent="0.25">
      <c r="A442" s="35"/>
      <c r="C442" s="141"/>
    </row>
    <row r="443" spans="1:3" x14ac:dyDescent="0.25">
      <c r="A443" s="35"/>
      <c r="C443" s="141"/>
    </row>
    <row r="444" spans="1:3" x14ac:dyDescent="0.25">
      <c r="A444" s="35"/>
      <c r="C444" s="141"/>
    </row>
    <row r="445" spans="1:3" x14ac:dyDescent="0.25">
      <c r="A445" s="35"/>
      <c r="C445" s="141"/>
    </row>
    <row r="446" spans="1:3" x14ac:dyDescent="0.25">
      <c r="A446" s="35"/>
      <c r="C446" s="141"/>
    </row>
    <row r="447" spans="1:3" x14ac:dyDescent="0.25">
      <c r="A447" s="35"/>
      <c r="C447" s="141"/>
    </row>
    <row r="448" spans="1:3" x14ac:dyDescent="0.25">
      <c r="A448" s="35"/>
      <c r="C448" s="141"/>
    </row>
    <row r="449" spans="1:3" x14ac:dyDescent="0.25">
      <c r="A449" s="35"/>
      <c r="C449" s="141"/>
    </row>
    <row r="450" spans="1:3" x14ac:dyDescent="0.25">
      <c r="A450" s="35"/>
      <c r="C450" s="141"/>
    </row>
    <row r="451" spans="1:3" x14ac:dyDescent="0.25">
      <c r="A451" s="35"/>
      <c r="C451" s="141"/>
    </row>
    <row r="452" spans="1:3" x14ac:dyDescent="0.25">
      <c r="A452" s="35"/>
      <c r="C452" s="141"/>
    </row>
    <row r="453" spans="1:3" x14ac:dyDescent="0.25">
      <c r="A453" s="35"/>
      <c r="C453" s="141"/>
    </row>
    <row r="454" spans="1:3" x14ac:dyDescent="0.25">
      <c r="A454" s="35"/>
      <c r="C454" s="141"/>
    </row>
    <row r="455" spans="1:3" x14ac:dyDescent="0.25">
      <c r="A455" s="35"/>
      <c r="C455" s="141"/>
    </row>
    <row r="456" spans="1:3" x14ac:dyDescent="0.25">
      <c r="A456" s="35"/>
      <c r="C456" s="141"/>
    </row>
    <row r="457" spans="1:3" x14ac:dyDescent="0.25">
      <c r="A457" s="35"/>
      <c r="C457" s="141"/>
    </row>
    <row r="458" spans="1:3" x14ac:dyDescent="0.25">
      <c r="A458" s="35"/>
      <c r="C458" s="141"/>
    </row>
    <row r="459" spans="1:3" x14ac:dyDescent="0.25">
      <c r="A459" s="35"/>
      <c r="C459" s="141"/>
    </row>
    <row r="460" spans="1:3" x14ac:dyDescent="0.25">
      <c r="A460" s="35"/>
      <c r="C460" s="141"/>
    </row>
    <row r="461" spans="1:3" x14ac:dyDescent="0.25">
      <c r="A461" s="35"/>
      <c r="C461" s="141"/>
    </row>
    <row r="462" spans="1:3" x14ac:dyDescent="0.25">
      <c r="A462" s="35"/>
      <c r="C462" s="141"/>
    </row>
    <row r="463" spans="1:3" x14ac:dyDescent="0.25">
      <c r="A463" s="35"/>
      <c r="C463" s="141"/>
    </row>
    <row r="464" spans="1:3" x14ac:dyDescent="0.25">
      <c r="A464" s="35"/>
      <c r="C464" s="141"/>
    </row>
    <row r="465" spans="1:3" x14ac:dyDescent="0.25">
      <c r="A465" s="148"/>
      <c r="C465" s="141"/>
    </row>
    <row r="466" spans="1:3" x14ac:dyDescent="0.25">
      <c r="A466" s="148"/>
      <c r="C466" s="141"/>
    </row>
    <row r="467" spans="1:3" x14ac:dyDescent="0.25">
      <c r="A467" s="35"/>
      <c r="C467" s="141"/>
    </row>
    <row r="468" spans="1:3" x14ac:dyDescent="0.25">
      <c r="A468" s="35"/>
      <c r="C468" s="141"/>
    </row>
    <row r="469" spans="1:3" x14ac:dyDescent="0.25">
      <c r="A469" s="35"/>
      <c r="C469" s="141"/>
    </row>
    <row r="470" spans="1:3" x14ac:dyDescent="0.25">
      <c r="A470" s="35"/>
      <c r="C470" s="141"/>
    </row>
    <row r="471" spans="1:3" x14ac:dyDescent="0.25">
      <c r="A471" s="35"/>
      <c r="C471" s="141"/>
    </row>
    <row r="472" spans="1:3" x14ac:dyDescent="0.25">
      <c r="A472" s="35"/>
      <c r="C472" s="141"/>
    </row>
    <row r="473" spans="1:3" x14ac:dyDescent="0.25">
      <c r="A473" s="35"/>
      <c r="C473" s="141"/>
    </row>
    <row r="474" spans="1:3" x14ac:dyDescent="0.25">
      <c r="A474" s="35"/>
      <c r="C474" s="141"/>
    </row>
    <row r="475" spans="1:3" x14ac:dyDescent="0.25">
      <c r="A475" s="35"/>
      <c r="C475" s="141"/>
    </row>
    <row r="476" spans="1:3" x14ac:dyDescent="0.25">
      <c r="A476" s="35"/>
      <c r="C476" s="141"/>
    </row>
    <row r="477" spans="1:3" x14ac:dyDescent="0.25">
      <c r="A477" s="35"/>
      <c r="C477" s="141"/>
    </row>
    <row r="478" spans="1:3" x14ac:dyDescent="0.25">
      <c r="A478" s="35"/>
      <c r="C478" s="141"/>
    </row>
    <row r="479" spans="1:3" x14ac:dyDescent="0.25">
      <c r="A479" s="35"/>
      <c r="C479" s="141"/>
    </row>
    <row r="480" spans="1:3" x14ac:dyDescent="0.25">
      <c r="A480" s="35"/>
      <c r="C480" s="141"/>
    </row>
    <row r="481" spans="1:3" x14ac:dyDescent="0.25">
      <c r="A481" s="35"/>
      <c r="C481" s="141"/>
    </row>
    <row r="482" spans="1:3" x14ac:dyDescent="0.25">
      <c r="A482" s="35"/>
      <c r="C482" s="141"/>
    </row>
    <row r="483" spans="1:3" x14ac:dyDescent="0.25">
      <c r="A483" s="35"/>
      <c r="C483" s="141"/>
    </row>
    <row r="484" spans="1:3" x14ac:dyDescent="0.25">
      <c r="A484" s="35"/>
      <c r="C484" s="141"/>
    </row>
    <row r="485" spans="1:3" x14ac:dyDescent="0.25">
      <c r="A485" s="35"/>
      <c r="C485" s="141"/>
    </row>
    <row r="486" spans="1:3" x14ac:dyDescent="0.25">
      <c r="A486" s="35"/>
      <c r="C486" s="141"/>
    </row>
    <row r="487" spans="1:3" x14ac:dyDescent="0.25">
      <c r="A487" s="35"/>
      <c r="C487" s="141"/>
    </row>
    <row r="488" spans="1:3" x14ac:dyDescent="0.25">
      <c r="A488" s="35"/>
      <c r="C488" s="141"/>
    </row>
    <row r="489" spans="1:3" x14ac:dyDescent="0.25">
      <c r="A489" s="35"/>
      <c r="C489" s="141"/>
    </row>
    <row r="490" spans="1:3" x14ac:dyDescent="0.25">
      <c r="A490" s="35"/>
      <c r="C490" s="141"/>
    </row>
    <row r="491" spans="1:3" x14ac:dyDescent="0.25">
      <c r="A491" s="35"/>
      <c r="C491" s="141"/>
    </row>
    <row r="492" spans="1:3" x14ac:dyDescent="0.25">
      <c r="A492" s="35"/>
      <c r="C492" s="141"/>
    </row>
    <row r="493" spans="1:3" x14ac:dyDescent="0.25">
      <c r="A493" s="35"/>
      <c r="C493" s="141"/>
    </row>
    <row r="494" spans="1:3" x14ac:dyDescent="0.25">
      <c r="A494" s="35"/>
      <c r="C494" s="141"/>
    </row>
    <row r="495" spans="1:3" x14ac:dyDescent="0.25">
      <c r="A495" s="35"/>
      <c r="C495" s="141"/>
    </row>
    <row r="496" spans="1:3" x14ac:dyDescent="0.25">
      <c r="A496" s="35"/>
      <c r="C496" s="141"/>
    </row>
    <row r="497" spans="1:3" x14ac:dyDescent="0.25">
      <c r="A497" s="35"/>
      <c r="C497" s="141"/>
    </row>
    <row r="498" spans="1:3" x14ac:dyDescent="0.25">
      <c r="A498" s="145"/>
      <c r="C498" s="141"/>
    </row>
    <row r="499" spans="1:3" x14ac:dyDescent="0.25">
      <c r="A499" s="35"/>
      <c r="C499" s="141"/>
    </row>
    <row r="500" spans="1:3" x14ac:dyDescent="0.25">
      <c r="A500" s="35" t="s">
        <v>374</v>
      </c>
      <c r="C500" s="141"/>
    </row>
    <row r="501" spans="1:3" x14ac:dyDescent="0.25">
      <c r="A501" s="35"/>
      <c r="C501" s="141"/>
    </row>
    <row r="502" spans="1:3" x14ac:dyDescent="0.25">
      <c r="A502" s="35"/>
      <c r="C502" s="141"/>
    </row>
    <row r="503" spans="1:3" x14ac:dyDescent="0.25">
      <c r="A503" s="35"/>
      <c r="C503" s="141"/>
    </row>
    <row r="504" spans="1:3" x14ac:dyDescent="0.25">
      <c r="A504" s="35"/>
      <c r="C504" s="141"/>
    </row>
    <row r="505" spans="1:3" x14ac:dyDescent="0.25">
      <c r="A505" s="35"/>
      <c r="C505" s="141"/>
    </row>
    <row r="506" spans="1:3" x14ac:dyDescent="0.25">
      <c r="A506" s="35"/>
      <c r="C506" s="141"/>
    </row>
    <row r="507" spans="1:3" x14ac:dyDescent="0.25">
      <c r="A507" s="35"/>
      <c r="C507" s="141"/>
    </row>
    <row r="508" spans="1:3" x14ac:dyDescent="0.25">
      <c r="A508" s="35"/>
      <c r="C508" s="141"/>
    </row>
    <row r="509" spans="1:3" x14ac:dyDescent="0.25">
      <c r="A509" s="35"/>
      <c r="C509" s="141"/>
    </row>
    <row r="510" spans="1:3" x14ac:dyDescent="0.25">
      <c r="A510" s="35"/>
      <c r="C510" s="141"/>
    </row>
    <row r="511" spans="1:3" x14ac:dyDescent="0.25">
      <c r="A511" s="148"/>
      <c r="C511" s="141"/>
    </row>
    <row r="512" spans="1:3" x14ac:dyDescent="0.25">
      <c r="A512" s="35"/>
      <c r="C512" s="141"/>
    </row>
    <row r="513" spans="1:3" x14ac:dyDescent="0.25">
      <c r="A513" s="35"/>
      <c r="C513" s="141"/>
    </row>
    <row r="514" spans="1:3" x14ac:dyDescent="0.25">
      <c r="A514" s="35"/>
      <c r="C514" s="141"/>
    </row>
    <row r="515" spans="1:3" x14ac:dyDescent="0.25">
      <c r="A515" s="35"/>
      <c r="C515" s="141"/>
    </row>
    <row r="516" spans="1:3" x14ac:dyDescent="0.25">
      <c r="A516" s="35"/>
      <c r="C516" s="141"/>
    </row>
    <row r="517" spans="1:3" x14ac:dyDescent="0.25">
      <c r="A517" s="35"/>
      <c r="C517" s="141"/>
    </row>
    <row r="518" spans="1:3" x14ac:dyDescent="0.25">
      <c r="A518" s="35"/>
      <c r="C518" s="141"/>
    </row>
    <row r="519" spans="1:3" x14ac:dyDescent="0.25">
      <c r="A519" s="35"/>
      <c r="C519" s="141"/>
    </row>
    <row r="520" spans="1:3" x14ac:dyDescent="0.25">
      <c r="A520" s="35"/>
      <c r="C520" s="141"/>
    </row>
    <row r="521" spans="1:3" x14ac:dyDescent="0.25">
      <c r="A521" s="35"/>
      <c r="C521" s="141"/>
    </row>
    <row r="522" spans="1:3" x14ac:dyDescent="0.25">
      <c r="A522" s="35"/>
      <c r="C522" s="141"/>
    </row>
    <row r="523" spans="1:3" x14ac:dyDescent="0.25">
      <c r="A523" s="35"/>
      <c r="C523" s="141"/>
    </row>
    <row r="524" spans="1:3" x14ac:dyDescent="0.25">
      <c r="A524" s="35"/>
      <c r="C524" s="141"/>
    </row>
    <row r="525" spans="1:3" x14ac:dyDescent="0.25">
      <c r="A525" s="35"/>
      <c r="C525" s="141"/>
    </row>
    <row r="526" spans="1:3" x14ac:dyDescent="0.25">
      <c r="A526" s="35"/>
      <c r="C526" s="141"/>
    </row>
    <row r="527" spans="1:3" x14ac:dyDescent="0.25">
      <c r="A527" s="35"/>
      <c r="C527" s="141"/>
    </row>
    <row r="528" spans="1:3" x14ac:dyDescent="0.25">
      <c r="A528" s="35"/>
      <c r="C528" s="141"/>
    </row>
    <row r="529" spans="1:3" x14ac:dyDescent="0.25">
      <c r="A529" s="35"/>
      <c r="C529" s="141"/>
    </row>
    <row r="530" spans="1:3" x14ac:dyDescent="0.25">
      <c r="A530" s="35"/>
      <c r="C530" s="141"/>
    </row>
    <row r="531" spans="1:3" x14ac:dyDescent="0.25">
      <c r="A531" s="35"/>
      <c r="C531" s="141"/>
    </row>
    <row r="532" spans="1:3" x14ac:dyDescent="0.25">
      <c r="A532" s="35"/>
      <c r="C532" s="141"/>
    </row>
    <row r="533" spans="1:3" x14ac:dyDescent="0.25">
      <c r="A533" s="35"/>
      <c r="C533" s="141"/>
    </row>
    <row r="534" spans="1:3" x14ac:dyDescent="0.25">
      <c r="A534" s="35"/>
      <c r="C534" s="141"/>
    </row>
    <row r="535" spans="1:3" x14ac:dyDescent="0.25">
      <c r="A535" s="35"/>
      <c r="C535" s="141"/>
    </row>
    <row r="536" spans="1:3" x14ac:dyDescent="0.25">
      <c r="A536" s="35"/>
      <c r="C536" s="141"/>
    </row>
    <row r="537" spans="1:3" x14ac:dyDescent="0.25">
      <c r="A537" s="35"/>
      <c r="C537" s="141"/>
    </row>
    <row r="538" spans="1:3" x14ac:dyDescent="0.25">
      <c r="A538" s="35"/>
      <c r="C538" s="141"/>
    </row>
    <row r="539" spans="1:3" x14ac:dyDescent="0.25">
      <c r="A539" s="35"/>
      <c r="C539" s="141"/>
    </row>
    <row r="540" spans="1:3" x14ac:dyDescent="0.25">
      <c r="A540" s="35"/>
      <c r="C540" s="141"/>
    </row>
    <row r="541" spans="1:3" x14ac:dyDescent="0.25">
      <c r="A541" s="35"/>
      <c r="C541" s="141"/>
    </row>
    <row r="542" spans="1:3" x14ac:dyDescent="0.25">
      <c r="A542" s="35"/>
      <c r="C542" s="141"/>
    </row>
    <row r="543" spans="1:3" x14ac:dyDescent="0.25">
      <c r="A543" s="35"/>
      <c r="C543" s="141"/>
    </row>
    <row r="544" spans="1:3" x14ac:dyDescent="0.25">
      <c r="A544" s="35"/>
      <c r="C544" s="141"/>
    </row>
    <row r="545" spans="1:3" x14ac:dyDescent="0.25">
      <c r="A545" s="35"/>
      <c r="C545" s="141"/>
    </row>
    <row r="546" spans="1:3" x14ac:dyDescent="0.25">
      <c r="A546" s="35"/>
      <c r="C546" s="141"/>
    </row>
    <row r="547" spans="1:3" x14ac:dyDescent="0.25">
      <c r="A547" s="35"/>
      <c r="C547" s="141"/>
    </row>
    <row r="548" spans="1:3" x14ac:dyDescent="0.25">
      <c r="A548" s="35"/>
      <c r="C548" s="141"/>
    </row>
    <row r="549" spans="1:3" x14ac:dyDescent="0.25">
      <c r="A549" s="35"/>
      <c r="C549" s="141"/>
    </row>
    <row r="550" spans="1:3" x14ac:dyDescent="0.25">
      <c r="A550" s="35"/>
      <c r="C550" s="141"/>
    </row>
    <row r="551" spans="1:3" x14ac:dyDescent="0.25">
      <c r="A551" s="35"/>
      <c r="C551" s="141"/>
    </row>
    <row r="552" spans="1:3" x14ac:dyDescent="0.25">
      <c r="A552" s="35"/>
      <c r="C552" s="141"/>
    </row>
    <row r="553" spans="1:3" x14ac:dyDescent="0.25">
      <c r="A553" s="35"/>
      <c r="C553" s="141"/>
    </row>
    <row r="554" spans="1:3" x14ac:dyDescent="0.25">
      <c r="A554" s="35"/>
      <c r="C554" s="141"/>
    </row>
    <row r="555" spans="1:3" x14ac:dyDescent="0.25">
      <c r="A555" s="35"/>
      <c r="C555" s="141"/>
    </row>
    <row r="556" spans="1:3" x14ac:dyDescent="0.25">
      <c r="A556" s="35"/>
      <c r="C556" s="141"/>
    </row>
    <row r="557" spans="1:3" x14ac:dyDescent="0.25">
      <c r="A557" s="35"/>
      <c r="C557" s="141"/>
    </row>
    <row r="558" spans="1:3" x14ac:dyDescent="0.25">
      <c r="A558" s="35"/>
      <c r="C558" s="141"/>
    </row>
    <row r="559" spans="1:3" x14ac:dyDescent="0.25">
      <c r="A559" s="35"/>
      <c r="C559" s="141"/>
    </row>
    <row r="560" spans="1:3" x14ac:dyDescent="0.25">
      <c r="A560" s="35"/>
      <c r="C560" s="141"/>
    </row>
    <row r="561" spans="1:3" x14ac:dyDescent="0.25">
      <c r="A561" s="35"/>
      <c r="C561" s="141"/>
    </row>
    <row r="562" spans="1:3" x14ac:dyDescent="0.25">
      <c r="A562" s="35"/>
      <c r="C562" s="141"/>
    </row>
    <row r="563" spans="1:3" x14ac:dyDescent="0.25">
      <c r="A563" s="35"/>
      <c r="C563" s="141"/>
    </row>
    <row r="564" spans="1:3" x14ac:dyDescent="0.25">
      <c r="A564" s="35"/>
      <c r="C564" s="141"/>
    </row>
    <row r="565" spans="1:3" x14ac:dyDescent="0.25">
      <c r="A565" s="35"/>
      <c r="C565" s="141"/>
    </row>
    <row r="566" spans="1:3" x14ac:dyDescent="0.25">
      <c r="A566" s="35"/>
      <c r="C566" s="141"/>
    </row>
    <row r="567" spans="1:3" x14ac:dyDescent="0.25">
      <c r="A567" s="35"/>
      <c r="C567" s="141"/>
    </row>
    <row r="568" spans="1:3" x14ac:dyDescent="0.25">
      <c r="A568" s="35"/>
      <c r="C568" s="141"/>
    </row>
    <row r="569" spans="1:3" x14ac:dyDescent="0.25">
      <c r="A569" s="35"/>
      <c r="C569" s="141"/>
    </row>
    <row r="570" spans="1:3" x14ac:dyDescent="0.25">
      <c r="A570" s="35"/>
      <c r="C570" s="141"/>
    </row>
    <row r="571" spans="1:3" x14ac:dyDescent="0.25">
      <c r="A571" s="35"/>
      <c r="C571" s="141"/>
    </row>
    <row r="572" spans="1:3" x14ac:dyDescent="0.25">
      <c r="A572" s="35"/>
      <c r="C572" s="141"/>
    </row>
    <row r="573" spans="1:3" x14ac:dyDescent="0.25">
      <c r="A573" s="35"/>
      <c r="C573" s="141"/>
    </row>
    <row r="574" spans="1:3" x14ac:dyDescent="0.25">
      <c r="A574" s="35"/>
      <c r="C574" s="141"/>
    </row>
    <row r="575" spans="1:3" x14ac:dyDescent="0.25">
      <c r="A575" s="35"/>
      <c r="C575" s="141"/>
    </row>
    <row r="576" spans="1:3" x14ac:dyDescent="0.25">
      <c r="A576" s="35"/>
      <c r="C576" s="141"/>
    </row>
    <row r="577" spans="1:3" x14ac:dyDescent="0.25">
      <c r="A577" s="35"/>
      <c r="C577" s="141"/>
    </row>
    <row r="578" spans="1:3" x14ac:dyDescent="0.25">
      <c r="A578" s="35"/>
      <c r="C578" s="141"/>
    </row>
    <row r="579" spans="1:3" x14ac:dyDescent="0.25">
      <c r="A579" s="35"/>
      <c r="C579" s="141"/>
    </row>
    <row r="580" spans="1:3" x14ac:dyDescent="0.25">
      <c r="A580" s="35"/>
      <c r="C580" s="141"/>
    </row>
    <row r="581" spans="1:3" x14ac:dyDescent="0.25">
      <c r="A581" s="147"/>
      <c r="C581" s="141"/>
    </row>
    <row r="582" spans="1:3" x14ac:dyDescent="0.25">
      <c r="A582" s="35"/>
      <c r="C582" s="141"/>
    </row>
    <row r="583" spans="1:3" x14ac:dyDescent="0.25">
      <c r="A583" s="35"/>
      <c r="C583" s="141"/>
    </row>
    <row r="584" spans="1:3" x14ac:dyDescent="0.25">
      <c r="A584" s="35"/>
      <c r="C584" s="141"/>
    </row>
    <row r="585" spans="1:3" x14ac:dyDescent="0.25">
      <c r="A585" s="35"/>
      <c r="C585" s="141"/>
    </row>
    <row r="586" spans="1:3" x14ac:dyDescent="0.25">
      <c r="A586" s="35"/>
      <c r="C586" s="141"/>
    </row>
    <row r="587" spans="1:3" x14ac:dyDescent="0.25">
      <c r="A587" s="35"/>
      <c r="C587" s="141"/>
    </row>
    <row r="588" spans="1:3" x14ac:dyDescent="0.25">
      <c r="A588" s="35"/>
      <c r="C588" s="141"/>
    </row>
    <row r="589" spans="1:3" x14ac:dyDescent="0.25">
      <c r="A589" s="35"/>
      <c r="C589" s="141"/>
    </row>
    <row r="590" spans="1:3" x14ac:dyDescent="0.25">
      <c r="A590" s="35"/>
      <c r="C590" s="141"/>
    </row>
    <row r="591" spans="1:3" x14ac:dyDescent="0.25">
      <c r="A591" s="35"/>
      <c r="C591" s="141"/>
    </row>
    <row r="592" spans="1:3" x14ac:dyDescent="0.25">
      <c r="A592" s="35"/>
      <c r="C592" s="141"/>
    </row>
    <row r="593" spans="1:3" x14ac:dyDescent="0.25">
      <c r="A593" s="35"/>
      <c r="C593" s="141"/>
    </row>
    <row r="594" spans="1:3" x14ac:dyDescent="0.25">
      <c r="A594" s="35"/>
      <c r="C594" s="141"/>
    </row>
    <row r="595" spans="1:3" x14ac:dyDescent="0.25">
      <c r="A595" s="35"/>
      <c r="C595" s="141"/>
    </row>
    <row r="596" spans="1:3" x14ac:dyDescent="0.25">
      <c r="A596" s="35"/>
      <c r="C596" s="141"/>
    </row>
    <row r="597" spans="1:3" x14ac:dyDescent="0.25">
      <c r="A597" s="35"/>
      <c r="C597" s="141"/>
    </row>
    <row r="598" spans="1:3" x14ac:dyDescent="0.25">
      <c r="A598" s="35"/>
      <c r="C598" s="141"/>
    </row>
    <row r="599" spans="1:3" x14ac:dyDescent="0.25">
      <c r="A599" s="35"/>
      <c r="C599" s="141"/>
    </row>
    <row r="600" spans="1:3" x14ac:dyDescent="0.25">
      <c r="A600" s="35"/>
      <c r="C600" s="141"/>
    </row>
    <row r="601" spans="1:3" x14ac:dyDescent="0.25">
      <c r="A601" s="35"/>
      <c r="C601" s="141"/>
    </row>
    <row r="602" spans="1:3" x14ac:dyDescent="0.25">
      <c r="A602" s="35"/>
      <c r="C602" s="141"/>
    </row>
    <row r="603" spans="1:3" x14ac:dyDescent="0.25">
      <c r="A603" s="35"/>
      <c r="C603" s="141"/>
    </row>
    <row r="604" spans="1:3" x14ac:dyDescent="0.25">
      <c r="A604" s="35"/>
      <c r="C604" s="141"/>
    </row>
    <row r="605" spans="1:3" x14ac:dyDescent="0.25">
      <c r="A605" s="35"/>
      <c r="C605" s="141"/>
    </row>
    <row r="606" spans="1:3" x14ac:dyDescent="0.25">
      <c r="A606" s="35"/>
      <c r="C606" s="141"/>
    </row>
    <row r="607" spans="1:3" x14ac:dyDescent="0.25">
      <c r="A607" s="35"/>
      <c r="C607" s="141"/>
    </row>
    <row r="608" spans="1:3" x14ac:dyDescent="0.25">
      <c r="A608" s="35"/>
      <c r="C608" s="141"/>
    </row>
    <row r="609" spans="1:3" x14ac:dyDescent="0.25">
      <c r="A609" s="35"/>
      <c r="C609" s="141"/>
    </row>
    <row r="610" spans="1:3" x14ac:dyDescent="0.25">
      <c r="A610" s="35"/>
      <c r="C610" s="141"/>
    </row>
    <row r="611" spans="1:3" x14ac:dyDescent="0.25">
      <c r="A611" s="35"/>
      <c r="C611" s="141"/>
    </row>
    <row r="612" spans="1:3" x14ac:dyDescent="0.25">
      <c r="A612" s="35"/>
      <c r="C612" s="141"/>
    </row>
    <row r="613" spans="1:3" x14ac:dyDescent="0.25">
      <c r="A613" s="35"/>
      <c r="C613" s="141"/>
    </row>
    <row r="614" spans="1:3" x14ac:dyDescent="0.25">
      <c r="A614" s="35"/>
      <c r="C614" s="141"/>
    </row>
    <row r="615" spans="1:3" x14ac:dyDescent="0.25">
      <c r="A615" s="35"/>
      <c r="C615" s="141"/>
    </row>
    <row r="616" spans="1:3" x14ac:dyDescent="0.25">
      <c r="A616" s="35"/>
      <c r="C616" s="141"/>
    </row>
    <row r="617" spans="1:3" x14ac:dyDescent="0.25">
      <c r="A617" s="35"/>
      <c r="C617" s="141"/>
    </row>
    <row r="618" spans="1:3" x14ac:dyDescent="0.25">
      <c r="A618" s="35"/>
      <c r="C618" s="141"/>
    </row>
    <row r="619" spans="1:3" x14ac:dyDescent="0.25">
      <c r="A619" s="35"/>
      <c r="C619" s="141"/>
    </row>
    <row r="620" spans="1:3" x14ac:dyDescent="0.25">
      <c r="A620" s="35"/>
      <c r="C620" s="141"/>
    </row>
    <row r="621" spans="1:3" x14ac:dyDescent="0.25">
      <c r="A621" s="35"/>
      <c r="C621" s="141"/>
    </row>
    <row r="622" spans="1:3" x14ac:dyDescent="0.25">
      <c r="A622" s="35"/>
      <c r="C622" s="141"/>
    </row>
    <row r="623" spans="1:3" x14ac:dyDescent="0.25">
      <c r="A623" s="35"/>
      <c r="C623" s="141"/>
    </row>
    <row r="624" spans="1:3" x14ac:dyDescent="0.25">
      <c r="A624" s="35"/>
      <c r="C624" s="141"/>
    </row>
    <row r="625" spans="1:3" x14ac:dyDescent="0.25">
      <c r="A625" s="35"/>
      <c r="C625" s="141"/>
    </row>
    <row r="626" spans="1:3" x14ac:dyDescent="0.25">
      <c r="A626" s="35"/>
      <c r="C626" s="141"/>
    </row>
    <row r="627" spans="1:3" x14ac:dyDescent="0.25">
      <c r="A627" s="35"/>
      <c r="C627" s="141"/>
    </row>
    <row r="628" spans="1:3" x14ac:dyDescent="0.25">
      <c r="A628" s="35"/>
      <c r="C628" s="141"/>
    </row>
    <row r="629" spans="1:3" x14ac:dyDescent="0.25">
      <c r="A629" s="35"/>
      <c r="C629" s="141"/>
    </row>
    <row r="630" spans="1:3" x14ac:dyDescent="0.25">
      <c r="A630" s="35"/>
      <c r="C630" s="141"/>
    </row>
    <row r="631" spans="1:3" x14ac:dyDescent="0.25">
      <c r="A631" s="35"/>
      <c r="C631" s="141"/>
    </row>
    <row r="632" spans="1:3" x14ac:dyDescent="0.25">
      <c r="A632" s="35"/>
      <c r="C632" s="141"/>
    </row>
    <row r="633" spans="1:3" x14ac:dyDescent="0.25">
      <c r="A633" s="35"/>
      <c r="C633" s="141"/>
    </row>
    <row r="634" spans="1:3" x14ac:dyDescent="0.25">
      <c r="A634" s="35"/>
      <c r="C634" s="141"/>
    </row>
    <row r="635" spans="1:3" x14ac:dyDescent="0.25">
      <c r="A635" s="35"/>
      <c r="C635" s="141"/>
    </row>
    <row r="636" spans="1:3" x14ac:dyDescent="0.25">
      <c r="A636" s="35"/>
      <c r="C636" s="141"/>
    </row>
    <row r="637" spans="1:3" x14ac:dyDescent="0.25">
      <c r="A637" s="35"/>
      <c r="C637" s="141"/>
    </row>
    <row r="638" spans="1:3" x14ac:dyDescent="0.25">
      <c r="A638" s="35"/>
      <c r="C638" s="141"/>
    </row>
    <row r="639" spans="1:3" x14ac:dyDescent="0.25">
      <c r="A639" s="35"/>
      <c r="C639" s="141"/>
    </row>
    <row r="640" spans="1:3" x14ac:dyDescent="0.25">
      <c r="A640" s="35"/>
      <c r="C640" s="141"/>
    </row>
    <row r="641" spans="1:3" x14ac:dyDescent="0.25">
      <c r="A641" s="35"/>
      <c r="C641" s="141"/>
    </row>
    <row r="642" spans="1:3" x14ac:dyDescent="0.25">
      <c r="A642" s="35"/>
      <c r="C642" s="141"/>
    </row>
    <row r="643" spans="1:3" x14ac:dyDescent="0.25">
      <c r="A643" s="35"/>
      <c r="C643" s="141"/>
    </row>
    <row r="644" spans="1:3" x14ac:dyDescent="0.25">
      <c r="A644" s="35"/>
      <c r="C644" s="141"/>
    </row>
    <row r="645" spans="1:3" x14ac:dyDescent="0.25">
      <c r="A645" s="35"/>
      <c r="C645" s="141"/>
    </row>
    <row r="646" spans="1:3" x14ac:dyDescent="0.25">
      <c r="A646" s="35"/>
      <c r="C646" s="141"/>
    </row>
    <row r="647" spans="1:3" x14ac:dyDescent="0.25">
      <c r="A647" s="35"/>
      <c r="C647" s="141"/>
    </row>
    <row r="648" spans="1:3" x14ac:dyDescent="0.25">
      <c r="A648" s="35"/>
      <c r="C648" s="141"/>
    </row>
    <row r="649" spans="1:3" x14ac:dyDescent="0.25">
      <c r="A649" s="35"/>
      <c r="C649" s="141"/>
    </row>
    <row r="650" spans="1:3" x14ac:dyDescent="0.25">
      <c r="A650" s="35"/>
      <c r="C650" s="141"/>
    </row>
    <row r="651" spans="1:3" x14ac:dyDescent="0.25">
      <c r="A651" s="35"/>
      <c r="C651" s="141"/>
    </row>
    <row r="652" spans="1:3" x14ac:dyDescent="0.25">
      <c r="A652" s="35"/>
      <c r="C652" s="141"/>
    </row>
    <row r="653" spans="1:3" x14ac:dyDescent="0.25">
      <c r="A653" s="35"/>
      <c r="C653" s="141"/>
    </row>
    <row r="654" spans="1:3" x14ac:dyDescent="0.25">
      <c r="A654" s="35"/>
      <c r="C654" s="141"/>
    </row>
    <row r="655" spans="1:3" x14ac:dyDescent="0.25">
      <c r="A655" s="35"/>
      <c r="C655" s="141"/>
    </row>
    <row r="656" spans="1:3" x14ac:dyDescent="0.25">
      <c r="A656" s="35"/>
      <c r="C656" s="141"/>
    </row>
    <row r="657" spans="1:3" x14ac:dyDescent="0.25">
      <c r="A657" s="35"/>
      <c r="C657" s="141"/>
    </row>
    <row r="658" spans="1:3" x14ac:dyDescent="0.25">
      <c r="A658" s="35"/>
      <c r="C658" s="141"/>
    </row>
    <row r="659" spans="1:3" x14ac:dyDescent="0.25">
      <c r="A659" s="35"/>
      <c r="C659" s="141"/>
    </row>
    <row r="660" spans="1:3" x14ac:dyDescent="0.25">
      <c r="A660" s="35"/>
      <c r="C660" s="141"/>
    </row>
    <row r="661" spans="1:3" x14ac:dyDescent="0.25">
      <c r="A661" s="35"/>
      <c r="C661" s="141"/>
    </row>
    <row r="662" spans="1:3" x14ac:dyDescent="0.25">
      <c r="A662" s="148"/>
      <c r="C662" s="141"/>
    </row>
    <row r="663" spans="1:3" x14ac:dyDescent="0.25">
      <c r="A663" s="35"/>
      <c r="C663" s="141"/>
    </row>
    <row r="664" spans="1:3" x14ac:dyDescent="0.25">
      <c r="A664" s="35"/>
      <c r="C664" s="141"/>
    </row>
    <row r="665" spans="1:3" x14ac:dyDescent="0.25">
      <c r="A665" s="35"/>
      <c r="C665" s="141"/>
    </row>
    <row r="666" spans="1:3" x14ac:dyDescent="0.25">
      <c r="A666" s="148"/>
      <c r="C666" s="141"/>
    </row>
    <row r="667" spans="1:3" x14ac:dyDescent="0.25">
      <c r="A667" s="35"/>
      <c r="C667" s="141"/>
    </row>
    <row r="668" spans="1:3" x14ac:dyDescent="0.25">
      <c r="A668" s="35"/>
      <c r="C668" s="141"/>
    </row>
    <row r="669" spans="1:3" x14ac:dyDescent="0.25">
      <c r="A669" s="35"/>
      <c r="C669" s="141"/>
    </row>
    <row r="670" spans="1:3" x14ac:dyDescent="0.25">
      <c r="A670" s="148"/>
      <c r="C670" s="141"/>
    </row>
    <row r="671" spans="1:3" x14ac:dyDescent="0.25">
      <c r="A671" s="35"/>
      <c r="C671" s="141"/>
    </row>
    <row r="672" spans="1:3" x14ac:dyDescent="0.25">
      <c r="A672" s="35"/>
      <c r="C672" s="141"/>
    </row>
    <row r="673" spans="1:3" x14ac:dyDescent="0.25">
      <c r="A673" s="35"/>
      <c r="C673" s="141"/>
    </row>
    <row r="674" spans="1:3" x14ac:dyDescent="0.25">
      <c r="A674" s="35"/>
      <c r="C674" s="141"/>
    </row>
    <row r="675" spans="1:3" x14ac:dyDescent="0.25">
      <c r="A675" s="35"/>
      <c r="C675" s="141"/>
    </row>
    <row r="676" spans="1:3" x14ac:dyDescent="0.25">
      <c r="A676" s="35"/>
      <c r="C676" s="141"/>
    </row>
    <row r="677" spans="1:3" x14ac:dyDescent="0.25">
      <c r="A677" s="35"/>
      <c r="C677" s="141"/>
    </row>
    <row r="678" spans="1:3" x14ac:dyDescent="0.25">
      <c r="A678" s="35"/>
      <c r="C678" s="141"/>
    </row>
    <row r="679" spans="1:3" x14ac:dyDescent="0.25">
      <c r="A679" s="148"/>
      <c r="C679" s="141"/>
    </row>
    <row r="680" spans="1:3" x14ac:dyDescent="0.25">
      <c r="A680" s="148"/>
      <c r="C680" s="141"/>
    </row>
    <row r="681" spans="1:3" x14ac:dyDescent="0.25">
      <c r="A681" s="148"/>
      <c r="C681" s="141"/>
    </row>
    <row r="682" spans="1:3" x14ac:dyDescent="0.25">
      <c r="A682" s="148"/>
      <c r="C682" s="141"/>
    </row>
    <row r="683" spans="1:3" x14ac:dyDescent="0.25">
      <c r="A683" s="148"/>
      <c r="C683" s="141"/>
    </row>
    <row r="684" spans="1:3" x14ac:dyDescent="0.25">
      <c r="A684" s="148"/>
      <c r="C684" s="141"/>
    </row>
    <row r="685" spans="1:3" x14ac:dyDescent="0.25">
      <c r="A685" s="148"/>
      <c r="C685" s="141"/>
    </row>
    <row r="686" spans="1:3" x14ac:dyDescent="0.25">
      <c r="A686" s="148"/>
      <c r="C686" s="141"/>
    </row>
    <row r="687" spans="1:3" x14ac:dyDescent="0.25">
      <c r="A687" s="35"/>
      <c r="C687" s="141"/>
    </row>
    <row r="688" spans="1:3" x14ac:dyDescent="0.25">
      <c r="A688" s="148"/>
      <c r="C688" s="141"/>
    </row>
    <row r="689" spans="1:3" x14ac:dyDescent="0.25">
      <c r="A689" s="148"/>
      <c r="C689" s="141"/>
    </row>
    <row r="690" spans="1:3" x14ac:dyDescent="0.25">
      <c r="A690" s="148"/>
      <c r="C690" s="141"/>
    </row>
    <row r="691" spans="1:3" x14ac:dyDescent="0.25">
      <c r="A691" s="35"/>
      <c r="C691" s="141"/>
    </row>
    <row r="692" spans="1:3" x14ac:dyDescent="0.25">
      <c r="A692" s="35"/>
      <c r="C692" s="141"/>
    </row>
    <row r="693" spans="1:3" x14ac:dyDescent="0.25">
      <c r="A693" s="35"/>
      <c r="C693" s="141"/>
    </row>
    <row r="694" spans="1:3" x14ac:dyDescent="0.25">
      <c r="A694" s="35"/>
      <c r="C694" s="141"/>
    </row>
    <row r="695" spans="1:3" x14ac:dyDescent="0.25">
      <c r="A695" s="35"/>
      <c r="C695" s="141"/>
    </row>
    <row r="696" spans="1:3" x14ac:dyDescent="0.25">
      <c r="A696" s="35"/>
      <c r="C696" s="141"/>
    </row>
    <row r="697" spans="1:3" x14ac:dyDescent="0.25">
      <c r="A697" s="35"/>
      <c r="C697" s="141"/>
    </row>
    <row r="698" spans="1:3" x14ac:dyDescent="0.25">
      <c r="A698" s="35"/>
      <c r="C698" s="141"/>
    </row>
    <row r="699" spans="1:3" x14ac:dyDescent="0.25">
      <c r="A699" s="35"/>
      <c r="C699" s="141"/>
    </row>
    <row r="700" spans="1:3" x14ac:dyDescent="0.25">
      <c r="A700" s="35"/>
      <c r="C700" s="141"/>
    </row>
    <row r="701" spans="1:3" x14ac:dyDescent="0.25">
      <c r="A701" s="35"/>
      <c r="C701" s="141"/>
    </row>
    <row r="702" spans="1:3" x14ac:dyDescent="0.25">
      <c r="A702" s="35"/>
      <c r="C702" s="141"/>
    </row>
    <row r="703" spans="1:3" x14ac:dyDescent="0.25">
      <c r="A703" s="35"/>
      <c r="C703" s="141"/>
    </row>
    <row r="704" spans="1:3" x14ac:dyDescent="0.25">
      <c r="A704" s="35"/>
      <c r="C704" s="141"/>
    </row>
    <row r="705" spans="1:3" x14ac:dyDescent="0.25">
      <c r="A705" s="35"/>
      <c r="C705" s="141"/>
    </row>
    <row r="706" spans="1:3" x14ac:dyDescent="0.25">
      <c r="A706" s="35"/>
      <c r="C706" s="141"/>
    </row>
    <row r="707" spans="1:3" x14ac:dyDescent="0.25">
      <c r="A707" s="35"/>
      <c r="C707" s="141"/>
    </row>
    <row r="708" spans="1:3" x14ac:dyDescent="0.25">
      <c r="A708" s="35"/>
      <c r="C708" s="141"/>
    </row>
    <row r="709" spans="1:3" x14ac:dyDescent="0.25">
      <c r="A709" s="35"/>
      <c r="C709" s="141"/>
    </row>
    <row r="710" spans="1:3" x14ac:dyDescent="0.25">
      <c r="A710" s="35"/>
      <c r="C710" s="141"/>
    </row>
    <row r="711" spans="1:3" x14ac:dyDescent="0.25">
      <c r="A711" s="35"/>
      <c r="C711" s="141"/>
    </row>
    <row r="712" spans="1:3" x14ac:dyDescent="0.25">
      <c r="A712" s="35"/>
      <c r="C712" s="141"/>
    </row>
    <row r="713" spans="1:3" x14ac:dyDescent="0.25">
      <c r="A713" s="35"/>
      <c r="C713" s="141"/>
    </row>
    <row r="714" spans="1:3" x14ac:dyDescent="0.25">
      <c r="A714" s="35"/>
      <c r="C714" s="141"/>
    </row>
    <row r="715" spans="1:3" x14ac:dyDescent="0.25">
      <c r="A715" s="35"/>
      <c r="C715" s="141"/>
    </row>
    <row r="716" spans="1:3" x14ac:dyDescent="0.25">
      <c r="A716" s="35"/>
      <c r="C716" s="141"/>
    </row>
    <row r="717" spans="1:3" x14ac:dyDescent="0.25">
      <c r="A717" s="35"/>
      <c r="C717" s="141"/>
    </row>
    <row r="718" spans="1:3" x14ac:dyDescent="0.25">
      <c r="A718" s="35"/>
      <c r="C718" s="141"/>
    </row>
    <row r="719" spans="1:3" x14ac:dyDescent="0.25">
      <c r="A719" s="35"/>
      <c r="C719" s="141"/>
    </row>
    <row r="720" spans="1:3" x14ac:dyDescent="0.25">
      <c r="A720" s="35"/>
      <c r="C720" s="141"/>
    </row>
    <row r="721" spans="1:3" x14ac:dyDescent="0.25">
      <c r="A721" s="35"/>
      <c r="C721" s="141"/>
    </row>
    <row r="722" spans="1:3" x14ac:dyDescent="0.25">
      <c r="A722" s="35"/>
      <c r="C722" s="141"/>
    </row>
    <row r="723" spans="1:3" x14ac:dyDescent="0.25">
      <c r="A723" s="35"/>
      <c r="C723" s="141"/>
    </row>
    <row r="724" spans="1:3" x14ac:dyDescent="0.25">
      <c r="A724" s="35"/>
      <c r="C724" s="141"/>
    </row>
    <row r="725" spans="1:3" x14ac:dyDescent="0.25">
      <c r="A725" s="35"/>
      <c r="C725" s="141"/>
    </row>
    <row r="726" spans="1:3" x14ac:dyDescent="0.25">
      <c r="A726" s="35"/>
      <c r="C726" s="141"/>
    </row>
    <row r="727" spans="1:3" x14ac:dyDescent="0.25">
      <c r="A727" s="35"/>
      <c r="C727" s="141"/>
    </row>
    <row r="728" spans="1:3" x14ac:dyDescent="0.25">
      <c r="A728" s="35"/>
      <c r="C728" s="141"/>
    </row>
    <row r="729" spans="1:3" x14ac:dyDescent="0.25">
      <c r="A729" s="35"/>
      <c r="C729" s="141"/>
    </row>
    <row r="730" spans="1:3" x14ac:dyDescent="0.25">
      <c r="A730" s="35"/>
      <c r="C730" s="141"/>
    </row>
    <row r="731" spans="1:3" x14ac:dyDescent="0.25">
      <c r="A731" s="35"/>
      <c r="C731" s="141"/>
    </row>
    <row r="732" spans="1:3" x14ac:dyDescent="0.25">
      <c r="A732" s="35"/>
      <c r="C732" s="141"/>
    </row>
    <row r="733" spans="1:3" x14ac:dyDescent="0.25">
      <c r="A733" s="35"/>
      <c r="C733" s="141"/>
    </row>
    <row r="734" spans="1:3" x14ac:dyDescent="0.25">
      <c r="A734" s="35"/>
      <c r="C734" s="141"/>
    </row>
    <row r="735" spans="1:3" x14ac:dyDescent="0.25">
      <c r="A735" s="35"/>
      <c r="C735" s="141"/>
    </row>
    <row r="736" spans="1:3" x14ac:dyDescent="0.25">
      <c r="A736" s="35"/>
      <c r="C736" s="141"/>
    </row>
    <row r="737" spans="1:3" x14ac:dyDescent="0.25">
      <c r="A737" s="35"/>
      <c r="C737" s="141"/>
    </row>
    <row r="738" spans="1:3" x14ac:dyDescent="0.25">
      <c r="A738" s="35"/>
      <c r="C738" s="141"/>
    </row>
    <row r="739" spans="1:3" x14ac:dyDescent="0.25">
      <c r="A739" s="35"/>
      <c r="C739" s="141"/>
    </row>
    <row r="740" spans="1:3" x14ac:dyDescent="0.25">
      <c r="A740" s="35"/>
      <c r="C740" s="141"/>
    </row>
    <row r="741" spans="1:3" x14ac:dyDescent="0.25">
      <c r="A741" s="35"/>
      <c r="C741" s="141"/>
    </row>
    <row r="742" spans="1:3" x14ac:dyDescent="0.25">
      <c r="A742" s="35"/>
      <c r="C742" s="141"/>
    </row>
    <row r="743" spans="1:3" x14ac:dyDescent="0.25">
      <c r="A743" s="35"/>
      <c r="C743" s="141"/>
    </row>
    <row r="744" spans="1:3" x14ac:dyDescent="0.25">
      <c r="A744" s="35"/>
      <c r="C744" s="141"/>
    </row>
    <row r="745" spans="1:3" x14ac:dyDescent="0.25">
      <c r="A745" s="35"/>
      <c r="C745" s="141"/>
    </row>
    <row r="746" spans="1:3" x14ac:dyDescent="0.25">
      <c r="A746" s="35"/>
      <c r="C746" s="141"/>
    </row>
    <row r="747" spans="1:3" x14ac:dyDescent="0.25">
      <c r="A747" s="35"/>
      <c r="C747" s="141"/>
    </row>
    <row r="748" spans="1:3" x14ac:dyDescent="0.25">
      <c r="A748" s="148"/>
      <c r="C748" s="141"/>
    </row>
    <row r="749" spans="1:3" x14ac:dyDescent="0.25">
      <c r="A749" s="35"/>
      <c r="C749" s="141"/>
    </row>
    <row r="750" spans="1:3" x14ac:dyDescent="0.25">
      <c r="A750" s="35"/>
      <c r="C750" s="141"/>
    </row>
    <row r="751" spans="1:3" x14ac:dyDescent="0.25">
      <c r="A751" s="148"/>
      <c r="C751" s="141"/>
    </row>
    <row r="752" spans="1:3" x14ac:dyDescent="0.25">
      <c r="A752" s="148"/>
      <c r="C752" s="141"/>
    </row>
    <row r="753" spans="1:3" x14ac:dyDescent="0.25">
      <c r="A753" s="148"/>
      <c r="C753" s="141"/>
    </row>
    <row r="754" spans="1:3" x14ac:dyDescent="0.25">
      <c r="A754" s="148"/>
      <c r="C754" s="141"/>
    </row>
    <row r="755" spans="1:3" x14ac:dyDescent="0.25">
      <c r="A755" s="35"/>
      <c r="C755" s="141"/>
    </row>
    <row r="756" spans="1:3" x14ac:dyDescent="0.25">
      <c r="A756" s="148"/>
      <c r="C756" s="141"/>
    </row>
    <row r="757" spans="1:3" x14ac:dyDescent="0.25">
      <c r="A757" s="35"/>
      <c r="C757" s="141"/>
    </row>
    <row r="758" spans="1:3" x14ac:dyDescent="0.25">
      <c r="A758" s="35"/>
      <c r="C758" s="141"/>
    </row>
    <row r="759" spans="1:3" x14ac:dyDescent="0.25">
      <c r="A759" s="35"/>
      <c r="C759" s="141"/>
    </row>
    <row r="760" spans="1:3" x14ac:dyDescent="0.25">
      <c r="A760" s="35"/>
      <c r="C760" s="141"/>
    </row>
    <row r="761" spans="1:3" x14ac:dyDescent="0.25">
      <c r="A761" s="35"/>
      <c r="C761" s="141"/>
    </row>
    <row r="762" spans="1:3" x14ac:dyDescent="0.25">
      <c r="A762" s="35"/>
      <c r="C762" s="141"/>
    </row>
    <row r="763" spans="1:3" x14ac:dyDescent="0.25">
      <c r="A763" s="35"/>
      <c r="C763" s="141"/>
    </row>
    <row r="764" spans="1:3" x14ac:dyDescent="0.25">
      <c r="A764" s="35"/>
      <c r="C764" s="141"/>
    </row>
    <row r="765" spans="1:3" x14ac:dyDescent="0.25">
      <c r="A765" s="35"/>
      <c r="C765" s="141"/>
    </row>
    <row r="766" spans="1:3" x14ac:dyDescent="0.25">
      <c r="A766" s="147"/>
      <c r="C766" s="141"/>
    </row>
    <row r="767" spans="1:3" x14ac:dyDescent="0.25">
      <c r="A767" s="35"/>
      <c r="C767" s="141"/>
    </row>
    <row r="768" spans="1:3" x14ac:dyDescent="0.25">
      <c r="A768" s="35"/>
      <c r="C768" s="141"/>
    </row>
    <row r="769" spans="1:3" x14ac:dyDescent="0.25">
      <c r="A769" s="35"/>
      <c r="C769" s="141"/>
    </row>
    <row r="770" spans="1:3" x14ac:dyDescent="0.25">
      <c r="A770" s="35"/>
      <c r="C770" s="141"/>
    </row>
    <row r="771" spans="1:3" x14ac:dyDescent="0.25">
      <c r="A771" s="35"/>
      <c r="C771" s="141"/>
    </row>
    <row r="772" spans="1:3" x14ac:dyDescent="0.25">
      <c r="A772" s="35"/>
      <c r="C772" s="141"/>
    </row>
    <row r="773" spans="1:3" x14ac:dyDescent="0.25">
      <c r="A773" s="35"/>
      <c r="C773" s="141"/>
    </row>
    <row r="774" spans="1:3" x14ac:dyDescent="0.25">
      <c r="A774" s="35"/>
      <c r="C774" s="141"/>
    </row>
    <row r="775" spans="1:3" x14ac:dyDescent="0.25">
      <c r="A775" s="35"/>
      <c r="C775" s="141"/>
    </row>
    <row r="776" spans="1:3" x14ac:dyDescent="0.25">
      <c r="A776" s="35"/>
      <c r="C776" s="141"/>
    </row>
    <row r="777" spans="1:3" x14ac:dyDescent="0.25">
      <c r="A777" s="35"/>
      <c r="C777" s="141"/>
    </row>
    <row r="778" spans="1:3" x14ac:dyDescent="0.25">
      <c r="A778" s="35"/>
      <c r="C778" s="141"/>
    </row>
    <row r="779" spans="1:3" x14ac:dyDescent="0.25">
      <c r="A779" s="35"/>
      <c r="C779" s="141"/>
    </row>
    <row r="780" spans="1:3" x14ac:dyDescent="0.25">
      <c r="A780" s="35"/>
      <c r="C780" s="141"/>
    </row>
    <row r="781" spans="1:3" x14ac:dyDescent="0.25">
      <c r="A781" s="35"/>
      <c r="C781" s="141"/>
    </row>
    <row r="782" spans="1:3" x14ac:dyDescent="0.25">
      <c r="A782" s="35"/>
      <c r="C782" s="141"/>
    </row>
    <row r="783" spans="1:3" x14ac:dyDescent="0.25">
      <c r="A783" s="35"/>
      <c r="C783" s="141"/>
    </row>
    <row r="784" spans="1:3" x14ac:dyDescent="0.25">
      <c r="A784" s="35"/>
      <c r="C784" s="141"/>
    </row>
    <row r="785" spans="1:3" x14ac:dyDescent="0.25">
      <c r="A785" s="35"/>
      <c r="C785" s="141"/>
    </row>
    <row r="786" spans="1:3" x14ac:dyDescent="0.25">
      <c r="A786" s="35"/>
      <c r="C786" s="141"/>
    </row>
    <row r="787" spans="1:3" x14ac:dyDescent="0.25">
      <c r="A787" s="35"/>
      <c r="C787" s="141"/>
    </row>
    <row r="788" spans="1:3" x14ac:dyDescent="0.25">
      <c r="A788" s="35"/>
      <c r="C788" s="141"/>
    </row>
    <row r="789" spans="1:3" x14ac:dyDescent="0.25">
      <c r="A789" s="35"/>
      <c r="C789" s="141"/>
    </row>
    <row r="790" spans="1:3" x14ac:dyDescent="0.25">
      <c r="A790" s="35"/>
      <c r="C790" s="141"/>
    </row>
    <row r="791" spans="1:3" x14ac:dyDescent="0.25">
      <c r="A791" s="35"/>
      <c r="C791" s="141"/>
    </row>
    <row r="792" spans="1:3" x14ac:dyDescent="0.25">
      <c r="A792" s="35"/>
      <c r="C792" s="141"/>
    </row>
    <row r="793" spans="1:3" x14ac:dyDescent="0.25">
      <c r="A793" s="35"/>
      <c r="C793" s="141"/>
    </row>
    <row r="794" spans="1:3" x14ac:dyDescent="0.25">
      <c r="A794" s="35"/>
      <c r="C794" s="141"/>
    </row>
    <row r="795" spans="1:3" x14ac:dyDescent="0.25">
      <c r="A795" s="35"/>
      <c r="C795" s="141"/>
    </row>
    <row r="796" spans="1:3" x14ac:dyDescent="0.25">
      <c r="A796" s="35"/>
      <c r="C796" s="141"/>
    </row>
    <row r="797" spans="1:3" x14ac:dyDescent="0.25">
      <c r="A797" s="35"/>
      <c r="C797" s="141"/>
    </row>
    <row r="798" spans="1:3" x14ac:dyDescent="0.25">
      <c r="A798" s="35"/>
      <c r="C798" s="141"/>
    </row>
    <row r="799" spans="1:3" x14ac:dyDescent="0.25">
      <c r="A799" s="35"/>
      <c r="C799" s="141"/>
    </row>
    <row r="800" spans="1:3" x14ac:dyDescent="0.25">
      <c r="A800" s="35"/>
      <c r="C800" s="141"/>
    </row>
    <row r="801" spans="1:3" x14ac:dyDescent="0.25">
      <c r="A801" s="35"/>
      <c r="C801" s="141"/>
    </row>
    <row r="802" spans="1:3" x14ac:dyDescent="0.25">
      <c r="A802" s="35"/>
      <c r="C802" s="141"/>
    </row>
    <row r="803" spans="1:3" x14ac:dyDescent="0.25">
      <c r="A803" s="35"/>
      <c r="C803" s="141"/>
    </row>
    <row r="804" spans="1:3" x14ac:dyDescent="0.25">
      <c r="A804" s="35"/>
      <c r="C804" s="141"/>
    </row>
    <row r="805" spans="1:3" x14ac:dyDescent="0.25">
      <c r="A805" s="35"/>
      <c r="C805" s="141"/>
    </row>
    <row r="806" spans="1:3" x14ac:dyDescent="0.25">
      <c r="A806" s="35"/>
      <c r="C806" s="141"/>
    </row>
    <row r="807" spans="1:3" x14ac:dyDescent="0.25">
      <c r="A807" s="35"/>
      <c r="C807" s="141"/>
    </row>
    <row r="808" spans="1:3" x14ac:dyDescent="0.25">
      <c r="A808" s="35"/>
      <c r="C808" s="141"/>
    </row>
    <row r="809" spans="1:3" x14ac:dyDescent="0.25">
      <c r="A809" s="35"/>
      <c r="C809" s="141"/>
    </row>
    <row r="810" spans="1:3" x14ac:dyDescent="0.25">
      <c r="A810" s="35"/>
      <c r="C810" s="141"/>
    </row>
    <row r="811" spans="1:3" x14ac:dyDescent="0.25">
      <c r="A811" s="35"/>
      <c r="C811" s="141"/>
    </row>
  </sheetData>
  <pageMargins left="0.7" right="0.7" top="0.75" bottom="0.75" header="0.3" footer="0.3"/>
  <pageSetup paperSize="9" orientation="portrait" horizontalDpi="30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F53"/>
  <sheetViews>
    <sheetView showWhiteSpace="0" topLeftCell="A117" zoomScaleNormal="100" workbookViewId="0">
      <selection activeCell="G5" sqref="G5"/>
    </sheetView>
  </sheetViews>
  <sheetFormatPr baseColWidth="10" defaultRowHeight="17.399999999999999" x14ac:dyDescent="0.3"/>
  <cols>
    <col min="1" max="1" width="11.44140625" style="174"/>
    <col min="2" max="2" width="58.109375" style="141" bestFit="1" customWidth="1"/>
    <col min="3" max="3" width="11.44140625" style="141"/>
    <col min="4" max="4" width="13.5546875" style="173" bestFit="1" customWidth="1"/>
    <col min="5" max="257" width="11.44140625" style="141"/>
    <col min="258" max="258" width="58.109375" style="141" bestFit="1" customWidth="1"/>
    <col min="259" max="259" width="11.44140625" style="141"/>
    <col min="260" max="260" width="13.5546875" style="141" bestFit="1" customWidth="1"/>
    <col min="261" max="513" width="11.44140625" style="141"/>
    <col min="514" max="514" width="58.109375" style="141" bestFit="1" customWidth="1"/>
    <col min="515" max="515" width="11.44140625" style="141"/>
    <col min="516" max="516" width="13.5546875" style="141" bestFit="1" customWidth="1"/>
    <col min="517" max="769" width="11.44140625" style="141"/>
    <col min="770" max="770" width="58.109375" style="141" bestFit="1" customWidth="1"/>
    <col min="771" max="771" width="11.44140625" style="141"/>
    <col min="772" max="772" width="13.5546875" style="141" bestFit="1" customWidth="1"/>
    <col min="773" max="1025" width="11.44140625" style="141"/>
    <col min="1026" max="1026" width="58.109375" style="141" bestFit="1" customWidth="1"/>
    <col min="1027" max="1027" width="11.44140625" style="141"/>
    <col min="1028" max="1028" width="13.5546875" style="141" bestFit="1" customWidth="1"/>
    <col min="1029" max="1281" width="11.44140625" style="141"/>
    <col min="1282" max="1282" width="58.109375" style="141" bestFit="1" customWidth="1"/>
    <col min="1283" max="1283" width="11.44140625" style="141"/>
    <col min="1284" max="1284" width="13.5546875" style="141" bestFit="1" customWidth="1"/>
    <col min="1285" max="1537" width="11.44140625" style="141"/>
    <col min="1538" max="1538" width="58.109375" style="141" bestFit="1" customWidth="1"/>
    <col min="1539" max="1539" width="11.44140625" style="141"/>
    <col min="1540" max="1540" width="13.5546875" style="141" bestFit="1" customWidth="1"/>
    <col min="1541" max="1793" width="11.44140625" style="141"/>
    <col min="1794" max="1794" width="58.109375" style="141" bestFit="1" customWidth="1"/>
    <col min="1795" max="1795" width="11.44140625" style="141"/>
    <col min="1796" max="1796" width="13.5546875" style="141" bestFit="1" customWidth="1"/>
    <col min="1797" max="2049" width="11.44140625" style="141"/>
    <col min="2050" max="2050" width="58.109375" style="141" bestFit="1" customWidth="1"/>
    <col min="2051" max="2051" width="11.44140625" style="141"/>
    <col min="2052" max="2052" width="13.5546875" style="141" bestFit="1" customWidth="1"/>
    <col min="2053" max="2305" width="11.44140625" style="141"/>
    <col min="2306" max="2306" width="58.109375" style="141" bestFit="1" customWidth="1"/>
    <col min="2307" max="2307" width="11.44140625" style="141"/>
    <col min="2308" max="2308" width="13.5546875" style="141" bestFit="1" customWidth="1"/>
    <col min="2309" max="2561" width="11.44140625" style="141"/>
    <col min="2562" max="2562" width="58.109375" style="141" bestFit="1" customWidth="1"/>
    <col min="2563" max="2563" width="11.44140625" style="141"/>
    <col min="2564" max="2564" width="13.5546875" style="141" bestFit="1" customWidth="1"/>
    <col min="2565" max="2817" width="11.44140625" style="141"/>
    <col min="2818" max="2818" width="58.109375" style="141" bestFit="1" customWidth="1"/>
    <col min="2819" max="2819" width="11.44140625" style="141"/>
    <col min="2820" max="2820" width="13.5546875" style="141" bestFit="1" customWidth="1"/>
    <col min="2821" max="3073" width="11.44140625" style="141"/>
    <col min="3074" max="3074" width="58.109375" style="141" bestFit="1" customWidth="1"/>
    <col min="3075" max="3075" width="11.44140625" style="141"/>
    <col min="3076" max="3076" width="13.5546875" style="141" bestFit="1" customWidth="1"/>
    <col min="3077" max="3329" width="11.44140625" style="141"/>
    <col min="3330" max="3330" width="58.109375" style="141" bestFit="1" customWidth="1"/>
    <col min="3331" max="3331" width="11.44140625" style="141"/>
    <col min="3332" max="3332" width="13.5546875" style="141" bestFit="1" customWidth="1"/>
    <col min="3333" max="3585" width="11.44140625" style="141"/>
    <col min="3586" max="3586" width="58.109375" style="141" bestFit="1" customWidth="1"/>
    <col min="3587" max="3587" width="11.44140625" style="141"/>
    <col min="3588" max="3588" width="13.5546875" style="141" bestFit="1" customWidth="1"/>
    <col min="3589" max="3841" width="11.44140625" style="141"/>
    <col min="3842" max="3842" width="58.109375" style="141" bestFit="1" customWidth="1"/>
    <col min="3843" max="3843" width="11.44140625" style="141"/>
    <col min="3844" max="3844" width="13.5546875" style="141" bestFit="1" customWidth="1"/>
    <col min="3845" max="4097" width="11.44140625" style="141"/>
    <col min="4098" max="4098" width="58.109375" style="141" bestFit="1" customWidth="1"/>
    <col min="4099" max="4099" width="11.44140625" style="141"/>
    <col min="4100" max="4100" width="13.5546875" style="141" bestFit="1" customWidth="1"/>
    <col min="4101" max="4353" width="11.44140625" style="141"/>
    <col min="4354" max="4354" width="58.109375" style="141" bestFit="1" customWidth="1"/>
    <col min="4355" max="4355" width="11.44140625" style="141"/>
    <col min="4356" max="4356" width="13.5546875" style="141" bestFit="1" customWidth="1"/>
    <col min="4357" max="4609" width="11.44140625" style="141"/>
    <col min="4610" max="4610" width="58.109375" style="141" bestFit="1" customWidth="1"/>
    <col min="4611" max="4611" width="11.44140625" style="141"/>
    <col min="4612" max="4612" width="13.5546875" style="141" bestFit="1" customWidth="1"/>
    <col min="4613" max="4865" width="11.44140625" style="141"/>
    <col min="4866" max="4866" width="58.109375" style="141" bestFit="1" customWidth="1"/>
    <col min="4867" max="4867" width="11.44140625" style="141"/>
    <col min="4868" max="4868" width="13.5546875" style="141" bestFit="1" customWidth="1"/>
    <col min="4869" max="5121" width="11.44140625" style="141"/>
    <col min="5122" max="5122" width="58.109375" style="141" bestFit="1" customWidth="1"/>
    <col min="5123" max="5123" width="11.44140625" style="141"/>
    <col min="5124" max="5124" width="13.5546875" style="141" bestFit="1" customWidth="1"/>
    <col min="5125" max="5377" width="11.44140625" style="141"/>
    <col min="5378" max="5378" width="58.109375" style="141" bestFit="1" customWidth="1"/>
    <col min="5379" max="5379" width="11.44140625" style="141"/>
    <col min="5380" max="5380" width="13.5546875" style="141" bestFit="1" customWidth="1"/>
    <col min="5381" max="5633" width="11.44140625" style="141"/>
    <col min="5634" max="5634" width="58.109375" style="141" bestFit="1" customWidth="1"/>
    <col min="5635" max="5635" width="11.44140625" style="141"/>
    <col min="5636" max="5636" width="13.5546875" style="141" bestFit="1" customWidth="1"/>
    <col min="5637" max="5889" width="11.44140625" style="141"/>
    <col min="5890" max="5890" width="58.109375" style="141" bestFit="1" customWidth="1"/>
    <col min="5891" max="5891" width="11.44140625" style="141"/>
    <col min="5892" max="5892" width="13.5546875" style="141" bestFit="1" customWidth="1"/>
    <col min="5893" max="6145" width="11.44140625" style="141"/>
    <col min="6146" max="6146" width="58.109375" style="141" bestFit="1" customWidth="1"/>
    <col min="6147" max="6147" width="11.44140625" style="141"/>
    <col min="6148" max="6148" width="13.5546875" style="141" bestFit="1" customWidth="1"/>
    <col min="6149" max="6401" width="11.44140625" style="141"/>
    <col min="6402" max="6402" width="58.109375" style="141" bestFit="1" customWidth="1"/>
    <col min="6403" max="6403" width="11.44140625" style="141"/>
    <col min="6404" max="6404" width="13.5546875" style="141" bestFit="1" customWidth="1"/>
    <col min="6405" max="6657" width="11.44140625" style="141"/>
    <col min="6658" max="6658" width="58.109375" style="141" bestFit="1" customWidth="1"/>
    <col min="6659" max="6659" width="11.44140625" style="141"/>
    <col min="6660" max="6660" width="13.5546875" style="141" bestFit="1" customWidth="1"/>
    <col min="6661" max="6913" width="11.44140625" style="141"/>
    <col min="6914" max="6914" width="58.109375" style="141" bestFit="1" customWidth="1"/>
    <col min="6915" max="6915" width="11.44140625" style="141"/>
    <col min="6916" max="6916" width="13.5546875" style="141" bestFit="1" customWidth="1"/>
    <col min="6917" max="7169" width="11.44140625" style="141"/>
    <col min="7170" max="7170" width="58.109375" style="141" bestFit="1" customWidth="1"/>
    <col min="7171" max="7171" width="11.44140625" style="141"/>
    <col min="7172" max="7172" width="13.5546875" style="141" bestFit="1" customWidth="1"/>
    <col min="7173" max="7425" width="11.44140625" style="141"/>
    <col min="7426" max="7426" width="58.109375" style="141" bestFit="1" customWidth="1"/>
    <col min="7427" max="7427" width="11.44140625" style="141"/>
    <col min="7428" max="7428" width="13.5546875" style="141" bestFit="1" customWidth="1"/>
    <col min="7429" max="7681" width="11.44140625" style="141"/>
    <col min="7682" max="7682" width="58.109375" style="141" bestFit="1" customWidth="1"/>
    <col min="7683" max="7683" width="11.44140625" style="141"/>
    <col min="7684" max="7684" width="13.5546875" style="141" bestFit="1" customWidth="1"/>
    <col min="7685" max="7937" width="11.44140625" style="141"/>
    <col min="7938" max="7938" width="58.109375" style="141" bestFit="1" customWidth="1"/>
    <col min="7939" max="7939" width="11.44140625" style="141"/>
    <col min="7940" max="7940" width="13.5546875" style="141" bestFit="1" customWidth="1"/>
    <col min="7941" max="8193" width="11.44140625" style="141"/>
    <col min="8194" max="8194" width="58.109375" style="141" bestFit="1" customWidth="1"/>
    <col min="8195" max="8195" width="11.44140625" style="141"/>
    <col min="8196" max="8196" width="13.5546875" style="141" bestFit="1" customWidth="1"/>
    <col min="8197" max="8449" width="11.44140625" style="141"/>
    <col min="8450" max="8450" width="58.109375" style="141" bestFit="1" customWidth="1"/>
    <col min="8451" max="8451" width="11.44140625" style="141"/>
    <col min="8452" max="8452" width="13.5546875" style="141" bestFit="1" customWidth="1"/>
    <col min="8453" max="8705" width="11.44140625" style="141"/>
    <col min="8706" max="8706" width="58.109375" style="141" bestFit="1" customWidth="1"/>
    <col min="8707" max="8707" width="11.44140625" style="141"/>
    <col min="8708" max="8708" width="13.5546875" style="141" bestFit="1" customWidth="1"/>
    <col min="8709" max="8961" width="11.44140625" style="141"/>
    <col min="8962" max="8962" width="58.109375" style="141" bestFit="1" customWidth="1"/>
    <col min="8963" max="8963" width="11.44140625" style="141"/>
    <col min="8964" max="8964" width="13.5546875" style="141" bestFit="1" customWidth="1"/>
    <col min="8965" max="9217" width="11.44140625" style="141"/>
    <col min="9218" max="9218" width="58.109375" style="141" bestFit="1" customWidth="1"/>
    <col min="9219" max="9219" width="11.44140625" style="141"/>
    <col min="9220" max="9220" width="13.5546875" style="141" bestFit="1" customWidth="1"/>
    <col min="9221" max="9473" width="11.44140625" style="141"/>
    <col min="9474" max="9474" width="58.109375" style="141" bestFit="1" customWidth="1"/>
    <col min="9475" max="9475" width="11.44140625" style="141"/>
    <col min="9476" max="9476" width="13.5546875" style="141" bestFit="1" customWidth="1"/>
    <col min="9477" max="9729" width="11.44140625" style="141"/>
    <col min="9730" max="9730" width="58.109375" style="141" bestFit="1" customWidth="1"/>
    <col min="9731" max="9731" width="11.44140625" style="141"/>
    <col min="9732" max="9732" width="13.5546875" style="141" bestFit="1" customWidth="1"/>
    <col min="9733" max="9985" width="11.44140625" style="141"/>
    <col min="9986" max="9986" width="58.109375" style="141" bestFit="1" customWidth="1"/>
    <col min="9987" max="9987" width="11.44140625" style="141"/>
    <col min="9988" max="9988" width="13.5546875" style="141" bestFit="1" customWidth="1"/>
    <col min="9989" max="10241" width="11.44140625" style="141"/>
    <col min="10242" max="10242" width="58.109375" style="141" bestFit="1" customWidth="1"/>
    <col min="10243" max="10243" width="11.44140625" style="141"/>
    <col min="10244" max="10244" width="13.5546875" style="141" bestFit="1" customWidth="1"/>
    <col min="10245" max="10497" width="11.44140625" style="141"/>
    <col min="10498" max="10498" width="58.109375" style="141" bestFit="1" customWidth="1"/>
    <col min="10499" max="10499" width="11.44140625" style="141"/>
    <col min="10500" max="10500" width="13.5546875" style="141" bestFit="1" customWidth="1"/>
    <col min="10501" max="10753" width="11.44140625" style="141"/>
    <col min="10754" max="10754" width="58.109375" style="141" bestFit="1" customWidth="1"/>
    <col min="10755" max="10755" width="11.44140625" style="141"/>
    <col min="10756" max="10756" width="13.5546875" style="141" bestFit="1" customWidth="1"/>
    <col min="10757" max="11009" width="11.44140625" style="141"/>
    <col min="11010" max="11010" width="58.109375" style="141" bestFit="1" customWidth="1"/>
    <col min="11011" max="11011" width="11.44140625" style="141"/>
    <col min="11012" max="11012" width="13.5546875" style="141" bestFit="1" customWidth="1"/>
    <col min="11013" max="11265" width="11.44140625" style="141"/>
    <col min="11266" max="11266" width="58.109375" style="141" bestFit="1" customWidth="1"/>
    <col min="11267" max="11267" width="11.44140625" style="141"/>
    <col min="11268" max="11268" width="13.5546875" style="141" bestFit="1" customWidth="1"/>
    <col min="11269" max="11521" width="11.44140625" style="141"/>
    <col min="11522" max="11522" width="58.109375" style="141" bestFit="1" customWidth="1"/>
    <col min="11523" max="11523" width="11.44140625" style="141"/>
    <col min="11524" max="11524" width="13.5546875" style="141" bestFit="1" customWidth="1"/>
    <col min="11525" max="11777" width="11.44140625" style="141"/>
    <col min="11778" max="11778" width="58.109375" style="141" bestFit="1" customWidth="1"/>
    <col min="11779" max="11779" width="11.44140625" style="141"/>
    <col min="11780" max="11780" width="13.5546875" style="141" bestFit="1" customWidth="1"/>
    <col min="11781" max="12033" width="11.44140625" style="141"/>
    <col min="12034" max="12034" width="58.109375" style="141" bestFit="1" customWidth="1"/>
    <col min="12035" max="12035" width="11.44140625" style="141"/>
    <col min="12036" max="12036" width="13.5546875" style="141" bestFit="1" customWidth="1"/>
    <col min="12037" max="12289" width="11.44140625" style="141"/>
    <col min="12290" max="12290" width="58.109375" style="141" bestFit="1" customWidth="1"/>
    <col min="12291" max="12291" width="11.44140625" style="141"/>
    <col min="12292" max="12292" width="13.5546875" style="141" bestFit="1" customWidth="1"/>
    <col min="12293" max="12545" width="11.44140625" style="141"/>
    <col min="12546" max="12546" width="58.109375" style="141" bestFit="1" customWidth="1"/>
    <col min="12547" max="12547" width="11.44140625" style="141"/>
    <col min="12548" max="12548" width="13.5546875" style="141" bestFit="1" customWidth="1"/>
    <col min="12549" max="12801" width="11.44140625" style="141"/>
    <col min="12802" max="12802" width="58.109375" style="141" bestFit="1" customWidth="1"/>
    <col min="12803" max="12803" width="11.44140625" style="141"/>
    <col min="12804" max="12804" width="13.5546875" style="141" bestFit="1" customWidth="1"/>
    <col min="12805" max="13057" width="11.44140625" style="141"/>
    <col min="13058" max="13058" width="58.109375" style="141" bestFit="1" customWidth="1"/>
    <col min="13059" max="13059" width="11.44140625" style="141"/>
    <col min="13060" max="13060" width="13.5546875" style="141" bestFit="1" customWidth="1"/>
    <col min="13061" max="13313" width="11.44140625" style="141"/>
    <col min="13314" max="13314" width="58.109375" style="141" bestFit="1" customWidth="1"/>
    <col min="13315" max="13315" width="11.44140625" style="141"/>
    <col min="13316" max="13316" width="13.5546875" style="141" bestFit="1" customWidth="1"/>
    <col min="13317" max="13569" width="11.44140625" style="141"/>
    <col min="13570" max="13570" width="58.109375" style="141" bestFit="1" customWidth="1"/>
    <col min="13571" max="13571" width="11.44140625" style="141"/>
    <col min="13572" max="13572" width="13.5546875" style="141" bestFit="1" customWidth="1"/>
    <col min="13573" max="13825" width="11.44140625" style="141"/>
    <col min="13826" max="13826" width="58.109375" style="141" bestFit="1" customWidth="1"/>
    <col min="13827" max="13827" width="11.44140625" style="141"/>
    <col min="13828" max="13828" width="13.5546875" style="141" bestFit="1" customWidth="1"/>
    <col min="13829" max="14081" width="11.44140625" style="141"/>
    <col min="14082" max="14082" width="58.109375" style="141" bestFit="1" customWidth="1"/>
    <col min="14083" max="14083" width="11.44140625" style="141"/>
    <col min="14084" max="14084" width="13.5546875" style="141" bestFit="1" customWidth="1"/>
    <col min="14085" max="14337" width="11.44140625" style="141"/>
    <col min="14338" max="14338" width="58.109375" style="141" bestFit="1" customWidth="1"/>
    <col min="14339" max="14339" width="11.44140625" style="141"/>
    <col min="14340" max="14340" width="13.5546875" style="141" bestFit="1" customWidth="1"/>
    <col min="14341" max="14593" width="11.44140625" style="141"/>
    <col min="14594" max="14594" width="58.109375" style="141" bestFit="1" customWidth="1"/>
    <col min="14595" max="14595" width="11.44140625" style="141"/>
    <col min="14596" max="14596" width="13.5546875" style="141" bestFit="1" customWidth="1"/>
    <col min="14597" max="14849" width="11.44140625" style="141"/>
    <col min="14850" max="14850" width="58.109375" style="141" bestFit="1" customWidth="1"/>
    <col min="14851" max="14851" width="11.44140625" style="141"/>
    <col min="14852" max="14852" width="13.5546875" style="141" bestFit="1" customWidth="1"/>
    <col min="14853" max="15105" width="11.44140625" style="141"/>
    <col min="15106" max="15106" width="58.109375" style="141" bestFit="1" customWidth="1"/>
    <col min="15107" max="15107" width="11.44140625" style="141"/>
    <col min="15108" max="15108" width="13.5546875" style="141" bestFit="1" customWidth="1"/>
    <col min="15109" max="15361" width="11.44140625" style="141"/>
    <col min="15362" max="15362" width="58.109375" style="141" bestFit="1" customWidth="1"/>
    <col min="15363" max="15363" width="11.44140625" style="141"/>
    <col min="15364" max="15364" width="13.5546875" style="141" bestFit="1" customWidth="1"/>
    <col min="15365" max="15617" width="11.44140625" style="141"/>
    <col min="15618" max="15618" width="58.109375" style="141" bestFit="1" customWidth="1"/>
    <col min="15619" max="15619" width="11.44140625" style="141"/>
    <col min="15620" max="15620" width="13.5546875" style="141" bestFit="1" customWidth="1"/>
    <col min="15621" max="15873" width="11.44140625" style="141"/>
    <col min="15874" max="15874" width="58.109375" style="141" bestFit="1" customWidth="1"/>
    <col min="15875" max="15875" width="11.44140625" style="141"/>
    <col min="15876" max="15876" width="13.5546875" style="141" bestFit="1" customWidth="1"/>
    <col min="15877" max="16129" width="11.44140625" style="141"/>
    <col min="16130" max="16130" width="58.109375" style="141" bestFit="1" customWidth="1"/>
    <col min="16131" max="16131" width="11.44140625" style="141"/>
    <col min="16132" max="16132" width="13.5546875" style="141" bestFit="1" customWidth="1"/>
    <col min="16133" max="16384" width="11.44140625" style="141"/>
  </cols>
  <sheetData>
    <row r="1" spans="1:6" ht="36.75" customHeight="1" x14ac:dyDescent="0.5">
      <c r="A1" s="4520" t="s">
        <v>1423</v>
      </c>
      <c r="B1" s="4520"/>
      <c r="C1" s="4520"/>
    </row>
    <row r="2" spans="1:6" ht="15" customHeight="1" x14ac:dyDescent="0.3">
      <c r="A2" s="182"/>
      <c r="B2" s="181" t="s">
        <v>1422</v>
      </c>
      <c r="C2" s="181" t="s">
        <v>1421</v>
      </c>
      <c r="D2" s="180" t="e">
        <f>SUM(D3:D6)</f>
        <v>#VALUE!</v>
      </c>
    </row>
    <row r="3" spans="1:6" ht="15" customHeight="1" x14ac:dyDescent="0.3">
      <c r="A3" s="186"/>
      <c r="B3" s="176" t="s">
        <v>1420</v>
      </c>
      <c r="C3" s="176">
        <v>70</v>
      </c>
      <c r="D3" s="464" t="e">
        <f>'Gr liv ACT-PAS'!O235</f>
        <v>#VALUE!</v>
      </c>
      <c r="E3" s="4521" t="s">
        <v>1419</v>
      </c>
      <c r="F3" s="4190"/>
    </row>
    <row r="4" spans="1:6" ht="15" customHeight="1" x14ac:dyDescent="0.3">
      <c r="A4" s="186"/>
      <c r="B4" s="176" t="s">
        <v>1418</v>
      </c>
      <c r="C4" s="176">
        <v>71</v>
      </c>
      <c r="D4" s="175"/>
    </row>
    <row r="5" spans="1:6" ht="15" customHeight="1" x14ac:dyDescent="0.3">
      <c r="A5" s="186"/>
      <c r="B5" s="176" t="s">
        <v>1417</v>
      </c>
      <c r="C5" s="176">
        <v>72</v>
      </c>
      <c r="D5" s="175"/>
    </row>
    <row r="6" spans="1:6" ht="15" customHeight="1" x14ac:dyDescent="0.3">
      <c r="A6" s="186"/>
      <c r="B6" s="176" t="s">
        <v>1416</v>
      </c>
      <c r="C6" s="176">
        <v>74</v>
      </c>
      <c r="D6" s="175"/>
    </row>
    <row r="7" spans="1:6" ht="15" customHeight="1" x14ac:dyDescent="0.3">
      <c r="A7" s="186"/>
      <c r="B7" s="176"/>
      <c r="C7" s="176"/>
      <c r="D7" s="175"/>
    </row>
    <row r="8" spans="1:6" ht="15" customHeight="1" x14ac:dyDescent="0.3">
      <c r="A8" s="179" t="s">
        <v>1370</v>
      </c>
      <c r="B8" s="178" t="s">
        <v>1415</v>
      </c>
      <c r="C8" s="178" t="s">
        <v>1414</v>
      </c>
      <c r="D8" s="177">
        <f>SUM(D9:D18)</f>
        <v>0</v>
      </c>
      <c r="E8" s="4354"/>
      <c r="F8" s="4190"/>
    </row>
    <row r="9" spans="1:6" ht="15" customHeight="1" x14ac:dyDescent="0.3">
      <c r="A9" s="186"/>
      <c r="B9" s="176" t="s">
        <v>1413</v>
      </c>
      <c r="C9" s="176">
        <v>60</v>
      </c>
      <c r="D9" s="464">
        <f>'Gr liv ACT-PAS'!C197</f>
        <v>0</v>
      </c>
      <c r="E9" s="4521" t="s">
        <v>1412</v>
      </c>
      <c r="F9" s="4190"/>
    </row>
    <row r="10" spans="1:6" ht="15" customHeight="1" x14ac:dyDescent="0.3">
      <c r="A10" s="186"/>
      <c r="B10" s="176" t="s">
        <v>1411</v>
      </c>
      <c r="C10" s="176" t="s">
        <v>1410</v>
      </c>
      <c r="D10" s="175"/>
    </row>
    <row r="11" spans="1:6" ht="15" customHeight="1" x14ac:dyDescent="0.3">
      <c r="A11" s="186"/>
      <c r="B11" s="176" t="s">
        <v>1409</v>
      </c>
      <c r="C11" s="176">
        <v>609</v>
      </c>
      <c r="D11" s="175"/>
    </row>
    <row r="12" spans="1:6" ht="15" customHeight="1" x14ac:dyDescent="0.3">
      <c r="A12" s="186"/>
      <c r="B12" s="176" t="s">
        <v>1408</v>
      </c>
      <c r="C12" s="176">
        <v>61</v>
      </c>
      <c r="D12" s="175"/>
    </row>
    <row r="13" spans="1:6" ht="15" customHeight="1" x14ac:dyDescent="0.3">
      <c r="A13" s="186"/>
      <c r="B13" s="176" t="s">
        <v>1407</v>
      </c>
      <c r="C13" s="176">
        <v>62</v>
      </c>
      <c r="D13" s="175"/>
    </row>
    <row r="14" spans="1:6" ht="15" customHeight="1" x14ac:dyDescent="0.3">
      <c r="A14" s="186"/>
      <c r="B14" s="176" t="s">
        <v>1406</v>
      </c>
      <c r="C14" s="176">
        <v>630</v>
      </c>
      <c r="D14" s="175"/>
    </row>
    <row r="15" spans="1:6" ht="15" customHeight="1" x14ac:dyDescent="0.3">
      <c r="A15" s="186"/>
      <c r="B15" s="176" t="s">
        <v>1405</v>
      </c>
      <c r="C15" s="176" t="s">
        <v>1404</v>
      </c>
      <c r="D15" s="175"/>
    </row>
    <row r="16" spans="1:6" ht="15" customHeight="1" x14ac:dyDescent="0.3">
      <c r="A16" s="186"/>
      <c r="B16" s="176" t="s">
        <v>1403</v>
      </c>
      <c r="C16" s="176" t="s">
        <v>1402</v>
      </c>
      <c r="D16" s="175"/>
    </row>
    <row r="17" spans="1:4" ht="15" customHeight="1" x14ac:dyDescent="0.3">
      <c r="A17" s="186"/>
      <c r="B17" s="176" t="s">
        <v>1401</v>
      </c>
      <c r="C17" s="176" t="s">
        <v>1400</v>
      </c>
      <c r="D17" s="175"/>
    </row>
    <row r="18" spans="1:4" ht="15" customHeight="1" x14ac:dyDescent="0.3">
      <c r="A18" s="186"/>
      <c r="B18" s="176" t="s">
        <v>1399</v>
      </c>
      <c r="C18" s="176" t="s">
        <v>1398</v>
      </c>
      <c r="D18" s="175"/>
    </row>
    <row r="19" spans="1:4" ht="15" customHeight="1" thickBot="1" x14ac:dyDescent="0.35">
      <c r="A19" s="186"/>
      <c r="B19" s="176"/>
      <c r="C19" s="176"/>
      <c r="D19" s="175"/>
    </row>
    <row r="20" spans="1:4" s="458" customFormat="1" ht="15" customHeight="1" thickTop="1" thickBot="1" x14ac:dyDescent="0.3">
      <c r="A20" s="456" t="s">
        <v>26</v>
      </c>
      <c r="B20" s="455" t="s">
        <v>1397</v>
      </c>
      <c r="C20" s="455" t="s">
        <v>1396</v>
      </c>
      <c r="D20" s="457" t="e">
        <f>IF(D2&gt;D8,D2-D8,0)</f>
        <v>#VALUE!</v>
      </c>
    </row>
    <row r="21" spans="1:4" s="458" customFormat="1" ht="15" customHeight="1" thickTop="1" thickBot="1" x14ac:dyDescent="0.3">
      <c r="A21" s="456" t="s">
        <v>1357</v>
      </c>
      <c r="B21" s="455" t="s">
        <v>1395</v>
      </c>
      <c r="C21" s="455" t="s">
        <v>1394</v>
      </c>
      <c r="D21" s="457" t="e">
        <f>IF(D8&gt;D2,D8-D2,0)</f>
        <v>#VALUE!</v>
      </c>
    </row>
    <row r="22" spans="1:4" ht="15" customHeight="1" thickTop="1" x14ac:dyDescent="0.3">
      <c r="A22" s="186"/>
      <c r="B22" s="176"/>
      <c r="C22" s="176"/>
      <c r="D22" s="175"/>
    </row>
    <row r="23" spans="1:4" ht="15" customHeight="1" x14ac:dyDescent="0.3">
      <c r="A23" s="182" t="s">
        <v>1378</v>
      </c>
      <c r="B23" s="181" t="s">
        <v>1393</v>
      </c>
      <c r="C23" s="181">
        <v>75</v>
      </c>
      <c r="D23" s="180">
        <f>SUM(D24:D26)</f>
        <v>0</v>
      </c>
    </row>
    <row r="24" spans="1:4" ht="15" customHeight="1" x14ac:dyDescent="0.3">
      <c r="A24" s="186"/>
      <c r="B24" s="176" t="s">
        <v>1392</v>
      </c>
      <c r="C24" s="176">
        <v>750</v>
      </c>
      <c r="D24" s="175"/>
    </row>
    <row r="25" spans="1:4" ht="15" customHeight="1" x14ac:dyDescent="0.3">
      <c r="A25" s="186"/>
      <c r="B25" s="176" t="s">
        <v>1391</v>
      </c>
      <c r="C25" s="176">
        <v>751</v>
      </c>
      <c r="D25" s="175"/>
    </row>
    <row r="26" spans="1:4" ht="15" customHeight="1" x14ac:dyDescent="0.3">
      <c r="A26" s="186"/>
      <c r="B26" s="176" t="s">
        <v>1390</v>
      </c>
      <c r="C26" s="176" t="s">
        <v>1389</v>
      </c>
      <c r="D26" s="175"/>
    </row>
    <row r="27" spans="1:4" ht="15" customHeight="1" x14ac:dyDescent="0.3">
      <c r="A27" s="186"/>
      <c r="B27" s="176"/>
      <c r="C27" s="176"/>
      <c r="D27" s="175"/>
    </row>
    <row r="28" spans="1:4" ht="15" customHeight="1" x14ac:dyDescent="0.3">
      <c r="A28" s="179" t="s">
        <v>1370</v>
      </c>
      <c r="B28" s="178" t="s">
        <v>1388</v>
      </c>
      <c r="C28" s="178" t="s">
        <v>1387</v>
      </c>
      <c r="D28" s="177">
        <f>SUM(D29:D31)</f>
        <v>0</v>
      </c>
    </row>
    <row r="29" spans="1:4" ht="15" customHeight="1" x14ac:dyDescent="0.3">
      <c r="A29" s="186"/>
      <c r="B29" s="176" t="s">
        <v>1386</v>
      </c>
      <c r="C29" s="176">
        <v>650</v>
      </c>
      <c r="D29" s="175"/>
    </row>
    <row r="30" spans="1:4" ht="15" customHeight="1" x14ac:dyDescent="0.3">
      <c r="A30" s="186"/>
      <c r="B30" s="176" t="s">
        <v>1385</v>
      </c>
      <c r="C30" s="176">
        <v>651</v>
      </c>
      <c r="D30" s="175"/>
    </row>
    <row r="31" spans="1:4" ht="15" customHeight="1" x14ac:dyDescent="0.3">
      <c r="A31" s="185"/>
      <c r="B31" s="176" t="s">
        <v>1384</v>
      </c>
      <c r="C31" s="176" t="s">
        <v>1383</v>
      </c>
      <c r="D31" s="175"/>
    </row>
    <row r="32" spans="1:4" ht="15" customHeight="1" thickBot="1" x14ac:dyDescent="0.35">
      <c r="A32" s="146"/>
      <c r="B32" s="184"/>
      <c r="C32" s="184"/>
      <c r="D32" s="183"/>
    </row>
    <row r="33" spans="1:4" s="458" customFormat="1" ht="15" customHeight="1" thickTop="1" thickBot="1" x14ac:dyDescent="0.3">
      <c r="A33" s="459" t="s">
        <v>26</v>
      </c>
      <c r="B33" s="460" t="s">
        <v>1382</v>
      </c>
      <c r="C33" s="460" t="s">
        <v>1381</v>
      </c>
      <c r="D33" s="457" t="e">
        <f>IF(D20+D21+D23-D28&gt;0,D20+D21+D23-D28,0)</f>
        <v>#VALUE!</v>
      </c>
    </row>
    <row r="34" spans="1:4" s="458" customFormat="1" ht="15" customHeight="1" thickTop="1" thickBot="1" x14ac:dyDescent="0.3">
      <c r="A34" s="459" t="s">
        <v>1357</v>
      </c>
      <c r="B34" s="460" t="s">
        <v>1380</v>
      </c>
      <c r="C34" s="460" t="s">
        <v>1379</v>
      </c>
      <c r="D34" s="457" t="e">
        <f>IF(D20+D21+D23-D28&lt;0,D20+D21+D23-D28,0)</f>
        <v>#VALUE!</v>
      </c>
    </row>
    <row r="35" spans="1:4" ht="15" customHeight="1" thickTop="1" x14ac:dyDescent="0.3">
      <c r="B35" s="176"/>
      <c r="C35" s="176"/>
      <c r="D35" s="175"/>
    </row>
    <row r="36" spans="1:4" ht="15" customHeight="1" x14ac:dyDescent="0.3">
      <c r="A36" s="182" t="s">
        <v>1378</v>
      </c>
      <c r="B36" s="181" t="s">
        <v>1377</v>
      </c>
      <c r="C36" s="181">
        <v>76</v>
      </c>
      <c r="D36" s="180">
        <f>SUM(D37:D42)</f>
        <v>0</v>
      </c>
    </row>
    <row r="37" spans="1:4" ht="15" customHeight="1" x14ac:dyDescent="0.3">
      <c r="B37" s="176" t="s">
        <v>1376</v>
      </c>
      <c r="C37" s="176">
        <v>760</v>
      </c>
      <c r="D37" s="175"/>
    </row>
    <row r="38" spans="1:4" ht="15" customHeight="1" x14ac:dyDescent="0.3">
      <c r="B38" s="176" t="s">
        <v>1375</v>
      </c>
      <c r="C38" s="176">
        <v>761</v>
      </c>
      <c r="D38" s="175"/>
    </row>
    <row r="39" spans="1:4" ht="15" customHeight="1" x14ac:dyDescent="0.3">
      <c r="B39" s="176" t="s">
        <v>1374</v>
      </c>
      <c r="C39" s="176">
        <v>762</v>
      </c>
      <c r="D39" s="175"/>
    </row>
    <row r="40" spans="1:4" ht="15" customHeight="1" x14ac:dyDescent="0.3">
      <c r="B40" s="176" t="s">
        <v>1373</v>
      </c>
      <c r="C40" s="176">
        <v>763</v>
      </c>
      <c r="D40" s="175"/>
    </row>
    <row r="41" spans="1:4" ht="15" customHeight="1" x14ac:dyDescent="0.3">
      <c r="B41" s="176" t="s">
        <v>1372</v>
      </c>
      <c r="C41" s="176" t="s">
        <v>1371</v>
      </c>
      <c r="D41" s="175"/>
    </row>
    <row r="42" spans="1:4" ht="15" customHeight="1" x14ac:dyDescent="0.3">
      <c r="B42" s="176"/>
      <c r="C42" s="176"/>
      <c r="D42" s="175"/>
    </row>
    <row r="43" spans="1:4" ht="15" customHeight="1" x14ac:dyDescent="0.3">
      <c r="A43" s="179" t="s">
        <v>1370</v>
      </c>
      <c r="B43" s="178" t="s">
        <v>1369</v>
      </c>
      <c r="C43" s="178" t="s">
        <v>1368</v>
      </c>
      <c r="D43" s="177">
        <f>SUM(D44:D49)</f>
        <v>0</v>
      </c>
    </row>
    <row r="44" spans="1:4" ht="15" customHeight="1" x14ac:dyDescent="0.3">
      <c r="B44" s="176" t="s">
        <v>1367</v>
      </c>
      <c r="C44" s="176">
        <v>660</v>
      </c>
      <c r="D44" s="175"/>
    </row>
    <row r="45" spans="1:4" ht="15" customHeight="1" x14ac:dyDescent="0.3">
      <c r="B45" s="176" t="s">
        <v>1366</v>
      </c>
      <c r="C45" s="176">
        <v>661</v>
      </c>
      <c r="D45" s="175"/>
    </row>
    <row r="46" spans="1:4" ht="15" customHeight="1" x14ac:dyDescent="0.3">
      <c r="B46" s="176" t="s">
        <v>1365</v>
      </c>
      <c r="C46" s="176">
        <v>662</v>
      </c>
      <c r="D46" s="175"/>
    </row>
    <row r="47" spans="1:4" ht="15" customHeight="1" x14ac:dyDescent="0.3">
      <c r="B47" s="176" t="s">
        <v>1364</v>
      </c>
      <c r="C47" s="176">
        <v>663</v>
      </c>
      <c r="D47" s="175"/>
    </row>
    <row r="48" spans="1:4" ht="15" customHeight="1" x14ac:dyDescent="0.3">
      <c r="B48" s="176" t="s">
        <v>1363</v>
      </c>
      <c r="C48" s="176" t="s">
        <v>1362</v>
      </c>
      <c r="D48" s="175"/>
    </row>
    <row r="49" spans="1:4" ht="15" customHeight="1" x14ac:dyDescent="0.3">
      <c r="B49" s="176" t="s">
        <v>1361</v>
      </c>
      <c r="C49" s="176" t="s">
        <v>1360</v>
      </c>
      <c r="D49" s="175"/>
    </row>
    <row r="50" spans="1:4" ht="15" customHeight="1" thickBot="1" x14ac:dyDescent="0.35">
      <c r="B50" s="176"/>
      <c r="C50" s="176"/>
      <c r="D50" s="175"/>
    </row>
    <row r="51" spans="1:4" s="458" customFormat="1" ht="15" customHeight="1" thickTop="1" thickBot="1" x14ac:dyDescent="0.3">
      <c r="A51" s="461" t="s">
        <v>26</v>
      </c>
      <c r="B51" s="462" t="s">
        <v>1359</v>
      </c>
      <c r="C51" s="462" t="s">
        <v>1358</v>
      </c>
      <c r="D51" s="463" t="e">
        <f>IF(D33+D34+D36-D43&gt;0,D33+D34+D36-D43,0)</f>
        <v>#VALUE!</v>
      </c>
    </row>
    <row r="52" spans="1:4" s="458" customFormat="1" ht="15" customHeight="1" thickTop="1" thickBot="1" x14ac:dyDescent="0.3">
      <c r="A52" s="461" t="s">
        <v>1357</v>
      </c>
      <c r="B52" s="462" t="s">
        <v>1356</v>
      </c>
      <c r="C52" s="462" t="s">
        <v>1355</v>
      </c>
      <c r="D52" s="463" t="e">
        <f>IF(D33+D34+D36-D43&lt;0,D33+D34+D36-D43,0)</f>
        <v>#VALUE!</v>
      </c>
    </row>
    <row r="53" spans="1:4" ht="15" customHeight="1" thickTop="1" x14ac:dyDescent="0.3">
      <c r="B53" s="176"/>
      <c r="C53" s="176"/>
      <c r="D53" s="175"/>
    </row>
  </sheetData>
  <mergeCells count="4">
    <mergeCell ref="A1:C1"/>
    <mergeCell ref="E3:F3"/>
    <mergeCell ref="E8:F8"/>
    <mergeCell ref="E9:F9"/>
  </mergeCells>
  <pageMargins left="0.25" right="0.25" top="0.75" bottom="0.75" header="0.3" footer="0.3"/>
  <pageSetup paperSize="9" scale="86" fitToHeight="0" orientation="portrait" r:id="rId1"/>
  <headerFooter>
    <oddHeader>&amp;LDernoncourt
jordan&amp;CSI noel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S14"/>
  <sheetViews>
    <sheetView workbookViewId="0">
      <selection activeCell="I17" sqref="I17"/>
    </sheetView>
  </sheetViews>
  <sheetFormatPr baseColWidth="10" defaultRowHeight="13.8" x14ac:dyDescent="0.25"/>
  <sheetData>
    <row r="3" spans="1:19" x14ac:dyDescent="0.25">
      <c r="A3" s="347"/>
      <c r="B3" s="4524" t="s">
        <v>339</v>
      </c>
      <c r="C3" s="4525"/>
      <c r="D3" s="4525"/>
      <c r="E3" s="4525"/>
      <c r="F3" s="4525"/>
      <c r="G3" s="4525"/>
      <c r="H3" s="4525"/>
      <c r="I3" s="4526"/>
      <c r="J3" s="347"/>
      <c r="K3" s="4530" t="s">
        <v>352</v>
      </c>
      <c r="L3" s="4530"/>
      <c r="M3" s="4530"/>
      <c r="N3" s="4530"/>
      <c r="O3" s="4530"/>
      <c r="P3" s="4530"/>
      <c r="Q3" s="4530"/>
      <c r="R3" s="339"/>
      <c r="S3" s="347"/>
    </row>
    <row r="4" spans="1:19" x14ac:dyDescent="0.25">
      <c r="A4" s="347"/>
      <c r="B4" s="4527" t="s">
        <v>340</v>
      </c>
      <c r="C4" s="4528"/>
      <c r="D4" s="4528"/>
      <c r="E4" s="4528"/>
      <c r="F4" s="4528"/>
      <c r="G4" s="4528"/>
      <c r="H4" s="4528"/>
      <c r="I4" s="4529"/>
      <c r="J4" s="347"/>
      <c r="K4" s="347"/>
      <c r="L4" s="4523" t="s">
        <v>353</v>
      </c>
      <c r="M4" s="4523"/>
      <c r="N4" s="4523"/>
      <c r="O4" s="4523"/>
      <c r="P4" s="4523"/>
      <c r="Q4" s="4523"/>
      <c r="R4" s="4523"/>
      <c r="S4" s="4523"/>
    </row>
    <row r="5" spans="1:19" x14ac:dyDescent="0.25">
      <c r="A5" s="347"/>
      <c r="B5" s="354" t="s">
        <v>341</v>
      </c>
      <c r="C5" s="355"/>
      <c r="D5" s="355"/>
      <c r="E5" s="355"/>
      <c r="F5" s="355"/>
      <c r="G5" s="355"/>
      <c r="H5" s="355"/>
      <c r="I5" s="356"/>
      <c r="J5" s="355"/>
      <c r="K5" s="355"/>
      <c r="L5" s="355"/>
      <c r="M5" s="355"/>
      <c r="N5" s="353"/>
    </row>
    <row r="6" spans="1:19" x14ac:dyDescent="0.25">
      <c r="A6" s="347"/>
      <c r="B6" s="357" t="s">
        <v>342</v>
      </c>
      <c r="C6" s="358"/>
      <c r="D6" s="358"/>
      <c r="E6" s="358"/>
      <c r="F6" s="358"/>
      <c r="G6" s="358"/>
      <c r="H6" s="358"/>
      <c r="I6" s="359"/>
      <c r="J6" s="355"/>
      <c r="K6" s="355"/>
      <c r="L6" s="355"/>
      <c r="M6" s="355"/>
      <c r="N6" s="355"/>
      <c r="O6" s="347"/>
      <c r="P6" s="348"/>
      <c r="Q6" s="339"/>
      <c r="R6" s="339"/>
      <c r="S6" s="347"/>
    </row>
    <row r="7" spans="1:19" ht="14.4" thickBot="1" x14ac:dyDescent="0.3">
      <c r="A7" s="347"/>
      <c r="B7" s="349"/>
      <c r="C7" s="350" t="s">
        <v>1638</v>
      </c>
      <c r="D7" s="350"/>
      <c r="E7" s="350"/>
      <c r="F7" s="350"/>
      <c r="G7" s="350"/>
      <c r="H7" s="350"/>
      <c r="I7" s="350"/>
      <c r="J7" s="350"/>
      <c r="K7" s="350"/>
      <c r="L7" s="351"/>
      <c r="M7" s="351"/>
      <c r="N7" s="352"/>
      <c r="O7" s="347"/>
      <c r="P7" s="348"/>
      <c r="Q7" s="339"/>
      <c r="R7" s="339"/>
      <c r="S7" s="347"/>
    </row>
    <row r="10" spans="1:19" x14ac:dyDescent="0.25">
      <c r="B10" s="4372" t="s">
        <v>1640</v>
      </c>
      <c r="C10" s="4373"/>
      <c r="D10" s="4373"/>
      <c r="E10" s="4373"/>
      <c r="F10" s="4373"/>
      <c r="G10" s="38"/>
    </row>
    <row r="11" spans="1:19" s="141" customFormat="1" x14ac:dyDescent="0.25">
      <c r="B11" s="4341" t="s">
        <v>1602</v>
      </c>
      <c r="C11" s="4339"/>
      <c r="D11" s="4339"/>
      <c r="E11" s="4339"/>
      <c r="F11" s="4339"/>
      <c r="G11" s="39"/>
    </row>
    <row r="12" spans="1:19" s="141" customFormat="1" x14ac:dyDescent="0.25">
      <c r="B12" s="4341" t="s">
        <v>1641</v>
      </c>
      <c r="C12" s="4339"/>
      <c r="D12" s="4339"/>
      <c r="E12" s="4339"/>
      <c r="F12" s="4339"/>
      <c r="G12" s="4522"/>
    </row>
    <row r="13" spans="1:19" s="141" customFormat="1" x14ac:dyDescent="0.25">
      <c r="B13" s="341"/>
      <c r="C13" s="340"/>
      <c r="D13" s="340"/>
      <c r="E13" s="340"/>
      <c r="F13" s="340"/>
      <c r="G13" s="39"/>
    </row>
    <row r="14" spans="1:19" ht="15.6" x14ac:dyDescent="0.3">
      <c r="B14" s="363" t="s">
        <v>1639</v>
      </c>
      <c r="C14" s="37"/>
      <c r="D14" s="37"/>
      <c r="E14" s="37"/>
      <c r="F14" s="37"/>
      <c r="G14" s="41"/>
    </row>
  </sheetData>
  <mergeCells count="7">
    <mergeCell ref="B11:F11"/>
    <mergeCell ref="B12:G12"/>
    <mergeCell ref="L4:S4"/>
    <mergeCell ref="B3:I3"/>
    <mergeCell ref="B4:I4"/>
    <mergeCell ref="K3:Q3"/>
    <mergeCell ref="B10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37</vt:i4>
      </vt:variant>
    </vt:vector>
  </HeadingPairs>
  <TitlesOfParts>
    <vt:vector size="60" baseType="lpstr">
      <vt:lpstr>Feuil4</vt:lpstr>
      <vt:lpstr>VAL-INIT</vt:lpstr>
      <vt:lpstr>Val-Dép</vt:lpstr>
      <vt:lpstr>CLIENTS(400-290)</vt:lpstr>
      <vt:lpstr>BILAN AC-PA</vt:lpstr>
      <vt:lpstr>Liv-Four-client</vt:lpstr>
      <vt:lpstr>BIL-SIMPLE</vt:lpstr>
      <vt:lpstr>Gr liv ACT-PAS</vt:lpstr>
      <vt:lpstr>LIVRE-JOURNAL</vt:lpstr>
      <vt:lpstr>Bal des comptes</vt:lpstr>
      <vt:lpstr>Bal.client-four</vt:lpstr>
      <vt:lpstr>Jour. Achats-ventes </vt:lpstr>
      <vt:lpstr>Journ- Finan-Banq</vt:lpstr>
      <vt:lpstr>Journ- CENTRAL</vt:lpstr>
      <vt:lpstr>BANQ-POST-CAIISE</vt:lpstr>
      <vt:lpstr>Feuil2</vt:lpstr>
      <vt:lpstr>LIV-ENTREE</vt:lpstr>
      <vt:lpstr>LIV-SORTIE</vt:lpstr>
      <vt:lpstr>TVA-625</vt:lpstr>
      <vt:lpstr>PCMN</vt:lpstr>
      <vt:lpstr>PCMN1</vt:lpstr>
      <vt:lpstr>Comp Résultat</vt:lpstr>
      <vt:lpstr>Feuil3</vt:lpstr>
      <vt:lpstr>appelation</vt:lpstr>
      <vt:lpstr>appelation2</vt:lpstr>
      <vt:lpstr>AVANCETVA</vt:lpstr>
      <vt:lpstr>Banque</vt:lpstr>
      <vt:lpstr>BQCLIENTS</vt:lpstr>
      <vt:lpstr>BQFOURNISSEURS</vt:lpstr>
      <vt:lpstr>Caisse</vt:lpstr>
      <vt:lpstr>Feuil2!CLASSEFOURNISSEUR</vt:lpstr>
      <vt:lpstr>CLIENTS</vt:lpstr>
      <vt:lpstr>dénomination</vt:lpstr>
      <vt:lpstr>FOURNISSEURS</vt:lpstr>
      <vt:lpstr>LIV.ENT.</vt:lpstr>
      <vt:lpstr>Modepaie</vt:lpstr>
      <vt:lpstr>PAIEFOURNISS.</vt:lpstr>
      <vt:lpstr>PAIEFOURNISSEUR</vt:lpstr>
      <vt:lpstr>paiement</vt:lpstr>
      <vt:lpstr>paiementnouv</vt:lpstr>
      <vt:lpstr>'Val-Dép'!payefournisseur</vt:lpstr>
      <vt:lpstr>payer</vt:lpstr>
      <vt:lpstr>'Bal.client-four'!Plan1</vt:lpstr>
      <vt:lpstr>'Comp Résultat'!Plan1</vt:lpstr>
      <vt:lpstr>PCMN1!Plan1</vt:lpstr>
      <vt:lpstr>Plan10</vt:lpstr>
      <vt:lpstr>'Bal.client-four'!Plan2</vt:lpstr>
      <vt:lpstr>'Comp Résultat'!Plan2</vt:lpstr>
      <vt:lpstr>PCMN1!Plan2</vt:lpstr>
      <vt:lpstr>Plan20</vt:lpstr>
      <vt:lpstr>TRANSFERT</vt:lpstr>
      <vt:lpstr>TransfertBQ</vt:lpstr>
      <vt:lpstr>TransfertCAISSE</vt:lpstr>
      <vt:lpstr>TransfertCREDIT</vt:lpstr>
      <vt:lpstr>TransfertPOSTE</vt:lpstr>
      <vt:lpstr>TransfertREMBOURSE</vt:lpstr>
      <vt:lpstr>TRANSFERTVERS</vt:lpstr>
      <vt:lpstr>TVA</vt:lpstr>
      <vt:lpstr>TVAréduit</vt:lpstr>
      <vt:lpstr>vide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Martin pecheur</cp:lastModifiedBy>
  <cp:lastPrinted>2017-10-22T08:53:35Z</cp:lastPrinted>
  <dcterms:created xsi:type="dcterms:W3CDTF">2015-05-07T04:31:27Z</dcterms:created>
  <dcterms:modified xsi:type="dcterms:W3CDTF">2017-11-06T12:43:04Z</dcterms:modified>
</cp:coreProperties>
</file>