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105" windowWidth="18915" windowHeight="8505" tabRatio="762"/>
  </bookViews>
  <sheets>
    <sheet name="Val-Départ" sheetId="9" r:id="rId1"/>
    <sheet name="Liv-Four-client" sheetId="13" state="hidden" r:id="rId2"/>
    <sheet name="Bal.client-four" sheetId="16" state="hidden" r:id="rId3"/>
    <sheet name="Gr liv ACT-PAS" sheetId="10" state="hidden" r:id="rId4"/>
    <sheet name="Jour. Achats-ventes" sheetId="18" state="hidden" r:id="rId5"/>
    <sheet name="PCMN" sheetId="25" r:id="rId6"/>
    <sheet name="PCMN1" sheetId="17" state="hidden" r:id="rId7"/>
    <sheet name="Bal des comptes" sheetId="21" state="hidden" r:id="rId8"/>
    <sheet name="Journ- Finan-central" sheetId="23" state="hidden" r:id="rId9"/>
    <sheet name="Comp Résultat" sheetId="19" state="hidden" r:id="rId10"/>
    <sheet name="BILAN AC-PA" sheetId="22" state="hidden" r:id="rId11"/>
    <sheet name="Feuil2" sheetId="11" r:id="rId12"/>
    <sheet name="Feuil5" sheetId="5" state="hidden" r:id="rId13"/>
    <sheet name="LIV-ENTREE" sheetId="3" state="hidden" r:id="rId14"/>
    <sheet name="LIV-SORTIE" sheetId="6" state="hidden" r:id="rId15"/>
    <sheet name="TVA-625" sheetId="7" state="hidden" r:id="rId16"/>
    <sheet name="Feuil9" sheetId="20" state="hidden" r:id="rId17"/>
  </sheets>
  <externalReferences>
    <externalReference r:id="rId18"/>
    <externalReference r:id="rId19"/>
  </externalReferences>
  <definedNames>
    <definedName name="appelation">Feuil2!$E$2:$E$22</definedName>
    <definedName name="AVANCETVA">Feuil2!$F$2:$F$10</definedName>
    <definedName name="dénomination">Feuil2!$B$2:$B$19</definedName>
    <definedName name="fournisseurs">'Val-Départ'!$A$35:$AA$43</definedName>
    <definedName name="Plan1" localSheetId="2">PCMN1!$A$1:$A$261</definedName>
    <definedName name="Plan1" localSheetId="9">PCMN1!$A$1:$A$261</definedName>
    <definedName name="Plan1" localSheetId="4">PCMN1!$A$1:$A$261</definedName>
    <definedName name="Plan1" localSheetId="6">PCMN1!$A$1:$A$261</definedName>
    <definedName name="Plan1">#REF!</definedName>
    <definedName name="Plan10">PCMN!$A$1:$A$13</definedName>
    <definedName name="Plan2" localSheetId="2">PCMN1!$A$1:$G$1</definedName>
    <definedName name="Plan2" localSheetId="9">PCMN1!$A$1:$G$1</definedName>
    <definedName name="Plan2" localSheetId="4">PCMN1!$A$1:$G$1</definedName>
    <definedName name="Plan2" localSheetId="6">PCMN1!$A$1:$G$1</definedName>
    <definedName name="Plan2">#REF!</definedName>
    <definedName name="Plan20">PCMN!$A$1:$G$1</definedName>
    <definedName name="TVA">Feuil2!$C$2:$C$9</definedName>
    <definedName name="TVAréduit">Feuil2!$D$2:$D$13</definedName>
  </definedNames>
  <calcPr calcId="125725"/>
</workbook>
</file>

<file path=xl/calcChain.xml><?xml version="1.0" encoding="utf-8"?>
<calcChain xmlns="http://schemas.openxmlformats.org/spreadsheetml/2006/main">
  <c r="W82" i="10"/>
  <c r="W84"/>
  <c r="W85"/>
  <c r="H85"/>
  <c r="H86"/>
  <c r="H87"/>
  <c r="H88"/>
  <c r="H89"/>
  <c r="H90"/>
  <c r="H91"/>
  <c r="H92"/>
  <c r="B12" i="18"/>
  <c r="B15"/>
  <c r="B18"/>
  <c r="B21"/>
  <c r="B24"/>
  <c r="B27"/>
  <c r="B30"/>
  <c r="B33"/>
  <c r="B36"/>
  <c r="B39"/>
  <c r="B9"/>
  <c r="F9"/>
  <c r="F12"/>
  <c r="F15"/>
  <c r="F18"/>
  <c r="F21"/>
  <c r="F24"/>
  <c r="F27"/>
  <c r="F30"/>
  <c r="F33"/>
  <c r="F36"/>
  <c r="F39"/>
  <c r="H7"/>
  <c r="H10"/>
  <c r="H34"/>
  <c r="F37"/>
  <c r="F7"/>
  <c r="F16"/>
  <c r="F10"/>
  <c r="F13"/>
  <c r="F19"/>
  <c r="F22"/>
  <c r="F25"/>
  <c r="F28"/>
  <c r="F31"/>
  <c r="F34"/>
  <c r="G10" i="23"/>
  <c r="F22"/>
  <c r="H61" i="22"/>
  <c r="H49"/>
  <c r="B245" i="10"/>
  <c r="B246"/>
  <c r="B247"/>
  <c r="B248"/>
  <c r="B249"/>
  <c r="B250"/>
  <c r="B251"/>
  <c r="B252"/>
  <c r="B253"/>
  <c r="B254"/>
  <c r="B244"/>
  <c r="B230"/>
  <c r="B231"/>
  <c r="B232"/>
  <c r="B233"/>
  <c r="B234"/>
  <c r="B235"/>
  <c r="B236"/>
  <c r="B237"/>
  <c r="B238"/>
  <c r="B229"/>
  <c r="M215"/>
  <c r="M216"/>
  <c r="M217"/>
  <c r="M218"/>
  <c r="M219"/>
  <c r="M220"/>
  <c r="M221"/>
  <c r="M222"/>
  <c r="M214"/>
  <c r="M202"/>
  <c r="M203"/>
  <c r="M204"/>
  <c r="M205"/>
  <c r="M206"/>
  <c r="M207"/>
  <c r="M208"/>
  <c r="M209"/>
  <c r="M201"/>
  <c r="M197"/>
  <c r="M189"/>
  <c r="M190"/>
  <c r="M191"/>
  <c r="M192"/>
  <c r="M193"/>
  <c r="M194"/>
  <c r="M195"/>
  <c r="M196"/>
  <c r="M188"/>
  <c r="B215"/>
  <c r="B216"/>
  <c r="B217"/>
  <c r="B218"/>
  <c r="B219"/>
  <c r="B220"/>
  <c r="B221"/>
  <c r="B222"/>
  <c r="B214"/>
  <c r="B202"/>
  <c r="B203"/>
  <c r="B204"/>
  <c r="B205"/>
  <c r="B206"/>
  <c r="B207"/>
  <c r="B208"/>
  <c r="B209"/>
  <c r="B201"/>
  <c r="B189"/>
  <c r="B190"/>
  <c r="B191"/>
  <c r="B192"/>
  <c r="B193"/>
  <c r="B194"/>
  <c r="B195"/>
  <c r="B196"/>
  <c r="B188"/>
  <c r="B64"/>
  <c r="C74"/>
  <c r="D12" i="21" s="1"/>
  <c r="B73" i="10"/>
  <c r="B72"/>
  <c r="B71"/>
  <c r="B70"/>
  <c r="B69"/>
  <c r="B68"/>
  <c r="B67"/>
  <c r="B66"/>
  <c r="B65"/>
  <c r="B74" l="1"/>
  <c r="G74" s="1"/>
  <c r="C12" i="21" l="1"/>
  <c r="B6" i="10"/>
  <c r="B7"/>
  <c r="B8"/>
  <c r="B9"/>
  <c r="B10"/>
  <c r="B11"/>
  <c r="B12"/>
  <c r="B13"/>
  <c r="B14"/>
  <c r="B51"/>
  <c r="B52"/>
  <c r="B53"/>
  <c r="B54"/>
  <c r="B55"/>
  <c r="B56"/>
  <c r="B57"/>
  <c r="B58"/>
  <c r="B50"/>
  <c r="B36"/>
  <c r="B37"/>
  <c r="B38"/>
  <c r="B39"/>
  <c r="B40"/>
  <c r="B41"/>
  <c r="B42"/>
  <c r="B43"/>
  <c r="B35"/>
  <c r="B25"/>
  <c r="B26"/>
  <c r="B27"/>
  <c r="B28"/>
  <c r="B29"/>
  <c r="B24"/>
  <c r="B5"/>
  <c r="B49"/>
  <c r="G173" l="1"/>
  <c r="G174"/>
  <c r="G175"/>
  <c r="G176"/>
  <c r="G177"/>
  <c r="G178"/>
  <c r="P86"/>
  <c r="P87"/>
  <c r="P88"/>
  <c r="P89"/>
  <c r="P90"/>
  <c r="P91"/>
  <c r="P92"/>
  <c r="P93"/>
  <c r="F161" l="1"/>
  <c r="S36" i="9"/>
  <c r="S37"/>
  <c r="S38"/>
  <c r="S39"/>
  <c r="S40"/>
  <c r="S41"/>
  <c r="S42"/>
  <c r="S43"/>
  <c r="S44"/>
  <c r="S45"/>
  <c r="S35"/>
  <c r="D46" l="1"/>
  <c r="D26"/>
  <c r="I26"/>
  <c r="G87" i="22"/>
  <c r="G57"/>
  <c r="G45"/>
  <c r="AD38" i="9" l="1"/>
  <c r="H99" i="23" s="1"/>
  <c r="AD39" i="9"/>
  <c r="AD40"/>
  <c r="H107" i="23" s="1"/>
  <c r="AD41" i="9"/>
  <c r="H111" i="23" s="1"/>
  <c r="AD42" i="9"/>
  <c r="H115" i="23" s="1"/>
  <c r="AD43" i="9"/>
  <c r="AD44"/>
  <c r="AD45"/>
  <c r="F138" i="23"/>
  <c r="F139"/>
  <c r="F140"/>
  <c r="F141"/>
  <c r="F142"/>
  <c r="F143"/>
  <c r="F144"/>
  <c r="F137"/>
  <c r="F126"/>
  <c r="F127"/>
  <c r="F128"/>
  <c r="F129"/>
  <c r="F130"/>
  <c r="F131"/>
  <c r="F132"/>
  <c r="F125"/>
  <c r="AK46" i="9"/>
  <c r="F91" i="23"/>
  <c r="F95"/>
  <c r="F99"/>
  <c r="F103"/>
  <c r="F107"/>
  <c r="F111"/>
  <c r="F115"/>
  <c r="F87"/>
  <c r="I90"/>
  <c r="I94"/>
  <c r="I98"/>
  <c r="I102"/>
  <c r="I106"/>
  <c r="I110"/>
  <c r="I114"/>
  <c r="I86"/>
  <c r="G59"/>
  <c r="G27"/>
  <c r="G31"/>
  <c r="G35"/>
  <c r="G39"/>
  <c r="G43"/>
  <c r="G47"/>
  <c r="G51"/>
  <c r="G56"/>
  <c r="G61"/>
  <c r="G66"/>
  <c r="G23"/>
  <c r="F30"/>
  <c r="F34"/>
  <c r="F38"/>
  <c r="F42"/>
  <c r="F46"/>
  <c r="F50"/>
  <c r="F55"/>
  <c r="F60"/>
  <c r="F65"/>
  <c r="F26"/>
  <c r="H64"/>
  <c r="H59"/>
  <c r="H54"/>
  <c r="H49"/>
  <c r="H45"/>
  <c r="H41"/>
  <c r="H29"/>
  <c r="H25"/>
  <c r="I10"/>
  <c r="G126" i="18"/>
  <c r="H127"/>
  <c r="Z40" i="9"/>
  <c r="F112" i="18"/>
  <c r="F116"/>
  <c r="F120"/>
  <c r="F124"/>
  <c r="F128"/>
  <c r="F132"/>
  <c r="F136"/>
  <c r="F108"/>
  <c r="F111"/>
  <c r="F115"/>
  <c r="F119"/>
  <c r="F123"/>
  <c r="F127"/>
  <c r="F131"/>
  <c r="F135"/>
  <c r="J113"/>
  <c r="F107"/>
  <c r="F105"/>
  <c r="F109"/>
  <c r="F113"/>
  <c r="F117"/>
  <c r="F121"/>
  <c r="F125"/>
  <c r="F129"/>
  <c r="F133"/>
  <c r="G125"/>
  <c r="H149" i="23" l="1"/>
  <c r="AF27" i="9"/>
  <c r="H103" i="23"/>
  <c r="X18" i="9" l="1"/>
  <c r="I42" i="23" s="1"/>
  <c r="X19" i="9"/>
  <c r="I46" i="23" s="1"/>
  <c r="X20" i="9"/>
  <c r="I50" i="23" s="1"/>
  <c r="X21" i="9"/>
  <c r="I55" i="23" s="1"/>
  <c r="X22" i="9"/>
  <c r="I60" i="23" s="1"/>
  <c r="X23" i="9"/>
  <c r="I65" i="23" s="1"/>
  <c r="X24" i="9"/>
  <c r="X25"/>
  <c r="B129" i="10"/>
  <c r="B19"/>
  <c r="B4"/>
  <c r="B81"/>
  <c r="O26" l="1"/>
  <c r="O14"/>
  <c r="C7" i="21" s="1"/>
  <c r="C15" i="10"/>
  <c r="C60"/>
  <c r="R15" i="9" l="1"/>
  <c r="R16"/>
  <c r="R17"/>
  <c r="M230" i="10" s="1"/>
  <c r="R18" i="9"/>
  <c r="M231" i="10" s="1"/>
  <c r="R19" i="9"/>
  <c r="R20"/>
  <c r="R21"/>
  <c r="R22"/>
  <c r="R23"/>
  <c r="R24"/>
  <c r="R25"/>
  <c r="R26"/>
  <c r="R14"/>
  <c r="M227" i="10" s="1"/>
  <c r="M235" l="1"/>
  <c r="M236"/>
  <c r="M228"/>
  <c r="M229"/>
  <c r="M234"/>
  <c r="M233"/>
  <c r="M232"/>
  <c r="AA36" i="9"/>
  <c r="AA37"/>
  <c r="AA38"/>
  <c r="AA39"/>
  <c r="AA41"/>
  <c r="AA42"/>
  <c r="AA43"/>
  <c r="AA44"/>
  <c r="AA45"/>
  <c r="V15"/>
  <c r="V16"/>
  <c r="V17"/>
  <c r="V18"/>
  <c r="V19"/>
  <c r="V20"/>
  <c r="V21"/>
  <c r="V22"/>
  <c r="V23"/>
  <c r="V24"/>
  <c r="V25"/>
  <c r="V13"/>
  <c r="B59" i="23" l="1"/>
  <c r="G64"/>
  <c r="D63"/>
  <c r="D58"/>
  <c r="D53"/>
  <c r="D44"/>
  <c r="D48"/>
  <c r="B85"/>
  <c r="B93"/>
  <c r="G16" i="22"/>
  <c r="G19"/>
  <c r="H19"/>
  <c r="G22"/>
  <c r="H22"/>
  <c r="G27"/>
  <c r="H27"/>
  <c r="G30"/>
  <c r="G39"/>
  <c r="G42"/>
  <c r="H42"/>
  <c r="G56"/>
  <c r="G63"/>
  <c r="G61" s="1"/>
  <c r="H63"/>
  <c r="G72"/>
  <c r="G71" s="1"/>
  <c r="H72"/>
  <c r="H71" s="1"/>
  <c r="G80"/>
  <c r="G86"/>
  <c r="G93"/>
  <c r="H93"/>
  <c r="G96"/>
  <c r="H96"/>
  <c r="G100"/>
  <c r="G79" l="1"/>
  <c r="G91"/>
  <c r="G15"/>
  <c r="G7"/>
  <c r="G25"/>
  <c r="I117" i="23"/>
  <c r="G55" i="22"/>
  <c r="G3" l="1"/>
  <c r="G51" s="1"/>
  <c r="G78"/>
  <c r="G105" s="1"/>
  <c r="C8" i="21" l="1"/>
  <c r="A7"/>
  <c r="A8"/>
  <c r="E12"/>
  <c r="F12"/>
  <c r="A13"/>
  <c r="A15"/>
  <c r="A18"/>
  <c r="A19"/>
  <c r="A20"/>
  <c r="A21"/>
  <c r="H35" i="22" l="1"/>
  <c r="H31" s="1"/>
  <c r="H30" s="1"/>
  <c r="D24" i="19"/>
  <c r="D29"/>
  <c r="D37"/>
  <c r="D44"/>
  <c r="B108" i="18"/>
  <c r="B112"/>
  <c r="B116"/>
  <c r="B124"/>
  <c r="B132"/>
  <c r="C84" i="10" l="1"/>
  <c r="B108" s="1"/>
  <c r="C85"/>
  <c r="B109" s="1"/>
  <c r="C86"/>
  <c r="B110" s="1"/>
  <c r="C87"/>
  <c r="B111" s="1"/>
  <c r="C88"/>
  <c r="B112" s="1"/>
  <c r="C89"/>
  <c r="B113" s="1"/>
  <c r="C90"/>
  <c r="B114" s="1"/>
  <c r="C91"/>
  <c r="B115" s="1"/>
  <c r="C92"/>
  <c r="B116" s="1"/>
  <c r="C93"/>
  <c r="B117" s="1"/>
  <c r="C83"/>
  <c r="B107" s="1"/>
  <c r="C82"/>
  <c r="G189"/>
  <c r="G190"/>
  <c r="G191"/>
  <c r="G192"/>
  <c r="G194"/>
  <c r="G195"/>
  <c r="G196"/>
  <c r="G197"/>
  <c r="C107"/>
  <c r="C108"/>
  <c r="C109"/>
  <c r="C110"/>
  <c r="C111"/>
  <c r="C112"/>
  <c r="C113"/>
  <c r="C114"/>
  <c r="C115"/>
  <c r="C116"/>
  <c r="C106"/>
  <c r="O83"/>
  <c r="O84"/>
  <c r="O85"/>
  <c r="O86"/>
  <c r="O87"/>
  <c r="O88"/>
  <c r="O89"/>
  <c r="O90"/>
  <c r="O91"/>
  <c r="O92"/>
  <c r="O82"/>
  <c r="Q171"/>
  <c r="Q172"/>
  <c r="Q173"/>
  <c r="Q174"/>
  <c r="Q175"/>
  <c r="Q176"/>
  <c r="Q177"/>
  <c r="Q178"/>
  <c r="Q179"/>
  <c r="Q180"/>
  <c r="Q169"/>
  <c r="H170"/>
  <c r="H171"/>
  <c r="H172"/>
  <c r="H173"/>
  <c r="H175"/>
  <c r="H176"/>
  <c r="H177"/>
  <c r="H178"/>
  <c r="U39" i="9"/>
  <c r="U40"/>
  <c r="U41"/>
  <c r="U42"/>
  <c r="U43"/>
  <c r="U44"/>
  <c r="U45"/>
  <c r="T40"/>
  <c r="V36"/>
  <c r="V37"/>
  <c r="V38"/>
  <c r="V39"/>
  <c r="V41"/>
  <c r="V42"/>
  <c r="V43"/>
  <c r="V44"/>
  <c r="V45"/>
  <c r="V35"/>
  <c r="AA35" s="1"/>
  <c r="R175" i="10"/>
  <c r="R176"/>
  <c r="R178"/>
  <c r="R180"/>
  <c r="Q22" i="9"/>
  <c r="Q23"/>
  <c r="R179" i="10" s="1"/>
  <c r="Q24" i="9"/>
  <c r="Q25"/>
  <c r="Q19"/>
  <c r="Q20"/>
  <c r="P14"/>
  <c r="P13"/>
  <c r="L171" i="10"/>
  <c r="L172"/>
  <c r="L173"/>
  <c r="L174"/>
  <c r="L175"/>
  <c r="L176"/>
  <c r="L177"/>
  <c r="L178"/>
  <c r="L179"/>
  <c r="L169"/>
  <c r="X40" i="9" l="1"/>
  <c r="W87" i="10" s="1"/>
  <c r="O94"/>
  <c r="C15" i="21" s="1"/>
  <c r="H169" i="10"/>
  <c r="C118"/>
  <c r="B106"/>
  <c r="C170"/>
  <c r="C171"/>
  <c r="C172"/>
  <c r="C173"/>
  <c r="C175"/>
  <c r="C176"/>
  <c r="C177"/>
  <c r="C178"/>
  <c r="C169"/>
  <c r="M175"/>
  <c r="M176"/>
  <c r="M178"/>
  <c r="M179"/>
  <c r="M180"/>
  <c r="B173"/>
  <c r="B174"/>
  <c r="B175"/>
  <c r="B176"/>
  <c r="B177"/>
  <c r="B178"/>
  <c r="D17" i="21" l="1"/>
  <c r="M12" i="13"/>
  <c r="E12" a="1"/>
  <c r="E12" s="1"/>
  <c r="M14" l="1"/>
  <c r="M18"/>
  <c r="M22"/>
  <c r="M17"/>
  <c r="M21"/>
  <c r="M16"/>
  <c r="M20"/>
  <c r="M24"/>
  <c r="M15"/>
  <c r="M19"/>
  <c r="M23"/>
  <c r="C24" i="16"/>
  <c r="C5"/>
  <c r="B10" i="23"/>
  <c r="E18" i="13"/>
  <c r="E22"/>
  <c r="E17"/>
  <c r="E20"/>
  <c r="E24"/>
  <c r="E19"/>
  <c r="E23"/>
  <c r="E21"/>
  <c r="F12"/>
  <c r="N12"/>
  <c r="D24" i="16" s="1"/>
  <c r="N13" i="13"/>
  <c r="D5" i="16" l="1"/>
  <c r="N36" i="9"/>
  <c r="Q36" s="1"/>
  <c r="N37"/>
  <c r="N38"/>
  <c r="N39"/>
  <c r="Q39" s="1"/>
  <c r="N40"/>
  <c r="N41"/>
  <c r="Q41" s="1"/>
  <c r="N42"/>
  <c r="Q42" s="1"/>
  <c r="N43"/>
  <c r="N44"/>
  <c r="N45"/>
  <c r="Q45" s="1"/>
  <c r="N35"/>
  <c r="Y36"/>
  <c r="Y37"/>
  <c r="Y38"/>
  <c r="Y39"/>
  <c r="Y35"/>
  <c r="G188" i="10" s="1"/>
  <c r="Y42" i="9"/>
  <c r="Y43"/>
  <c r="Y44"/>
  <c r="Y45"/>
  <c r="Y41"/>
  <c r="Q35" l="1"/>
  <c r="T35"/>
  <c r="Q37"/>
  <c r="U37"/>
  <c r="B171" i="10"/>
  <c r="Q38" i="9"/>
  <c r="U38"/>
  <c r="B172" i="10"/>
  <c r="T43" i="9"/>
  <c r="X43" s="1"/>
  <c r="W90" i="10" s="1"/>
  <c r="Q43" i="9"/>
  <c r="T44"/>
  <c r="X44" s="1"/>
  <c r="W91" i="10" s="1"/>
  <c r="Q44" i="9"/>
  <c r="B59" i="10" s="1"/>
  <c r="V40" i="9"/>
  <c r="V46" s="1"/>
  <c r="V48" s="1"/>
  <c r="Q40"/>
  <c r="T39"/>
  <c r="X39" s="1"/>
  <c r="G121" i="18"/>
  <c r="T41" i="9"/>
  <c r="X41" s="1"/>
  <c r="G129" i="18"/>
  <c r="T42" i="9"/>
  <c r="G133" i="18"/>
  <c r="T36" i="9"/>
  <c r="G109" i="18"/>
  <c r="T37" i="9"/>
  <c r="G113" i="18"/>
  <c r="U35" i="9"/>
  <c r="N46"/>
  <c r="T38"/>
  <c r="X38" s="1"/>
  <c r="G172" i="10" s="1"/>
  <c r="G117" i="18"/>
  <c r="B170" i="10"/>
  <c r="U36" i="9"/>
  <c r="T45"/>
  <c r="C174" i="10"/>
  <c r="C179" s="1"/>
  <c r="D20" i="21" s="1"/>
  <c r="Y40" i="9"/>
  <c r="G193" i="10" s="1"/>
  <c r="B169"/>
  <c r="G130" i="18" l="1"/>
  <c r="W88" i="10"/>
  <c r="G122" i="18"/>
  <c r="W86" i="10"/>
  <c r="X35" i="9"/>
  <c r="G169" i="10" s="1"/>
  <c r="X42" i="9"/>
  <c r="V87" i="10"/>
  <c r="H174"/>
  <c r="H179" s="1"/>
  <c r="D16" i="21" s="1"/>
  <c r="G118" i="18"/>
  <c r="X37" i="9"/>
  <c r="G106" i="18"/>
  <c r="X36" i="9"/>
  <c r="T46"/>
  <c r="Z45"/>
  <c r="B179" i="10"/>
  <c r="C20" i="21" s="1"/>
  <c r="E20" s="1"/>
  <c r="U46" i="9"/>
  <c r="Y46"/>
  <c r="G170" i="10" l="1"/>
  <c r="W83"/>
  <c r="G134" i="18"/>
  <c r="W89" i="10"/>
  <c r="G114" i="18"/>
  <c r="G171" i="10"/>
  <c r="G179" s="1"/>
  <c r="C16" i="21" s="1"/>
  <c r="F16" s="1"/>
  <c r="H181" i="10"/>
  <c r="H143" i="23"/>
  <c r="Z41" i="9"/>
  <c r="H131" i="18" s="1"/>
  <c r="G110"/>
  <c r="X46" i="9"/>
  <c r="H145" i="23" s="1"/>
  <c r="T48" i="9"/>
  <c r="F20" i="21"/>
  <c r="E16" l="1"/>
  <c r="H41" i="22" s="1"/>
  <c r="V88" i="10"/>
  <c r="AF36" i="9"/>
  <c r="N15" i="13" s="1"/>
  <c r="AF37" i="9"/>
  <c r="N16" i="13" s="1"/>
  <c r="AF38" i="9"/>
  <c r="N17" i="13" s="1"/>
  <c r="AF39" i="9"/>
  <c r="N18" i="13" s="1"/>
  <c r="AF40" i="9"/>
  <c r="N19" i="13" s="1"/>
  <c r="AF41" i="9"/>
  <c r="N20" i="13" s="1"/>
  <c r="AF42" i="9"/>
  <c r="N21" i="13" s="1"/>
  <c r="AF43" i="9"/>
  <c r="N22" i="13" s="1"/>
  <c r="AF44" i="9"/>
  <c r="N23" i="13" s="1"/>
  <c r="AF45" i="9"/>
  <c r="N24" i="13" s="1"/>
  <c r="AF35" i="9"/>
  <c r="N14" i="13" s="1"/>
  <c r="Y14" i="9"/>
  <c r="Y15"/>
  <c r="Y16"/>
  <c r="Y17"/>
  <c r="Y18"/>
  <c r="Y19"/>
  <c r="Y20"/>
  <c r="Y21"/>
  <c r="Y22"/>
  <c r="Y23"/>
  <c r="Y24"/>
  <c r="Y25"/>
  <c r="Y26"/>
  <c r="Y13"/>
  <c r="F14" i="13" s="1"/>
  <c r="F23" l="1"/>
  <c r="F22"/>
  <c r="F24"/>
  <c r="F20"/>
  <c r="F15"/>
  <c r="F19"/>
  <c r="F21"/>
  <c r="F16"/>
  <c r="E13"/>
  <c r="AG41" i="9" l="1"/>
  <c r="AG42"/>
  <c r="AG43"/>
  <c r="AG44"/>
  <c r="AG36"/>
  <c r="AG37"/>
  <c r="AG38"/>
  <c r="AG39"/>
  <c r="AG40"/>
  <c r="H93" i="10" l="1"/>
  <c r="N14" i="9"/>
  <c r="I126" i="23" s="1"/>
  <c r="N15" i="9"/>
  <c r="N16"/>
  <c r="N17"/>
  <c r="N18"/>
  <c r="N19"/>
  <c r="N20"/>
  <c r="N21"/>
  <c r="N22"/>
  <c r="N23"/>
  <c r="H37" i="18" s="1"/>
  <c r="N24" i="9"/>
  <c r="P24" s="1"/>
  <c r="N25"/>
  <c r="P25" s="1"/>
  <c r="N13"/>
  <c r="R13"/>
  <c r="M226" i="10" s="1"/>
  <c r="H22" i="18" l="1"/>
  <c r="P18" i="9"/>
  <c r="I132" i="23"/>
  <c r="H28" i="18"/>
  <c r="H16"/>
  <c r="P16" i="9"/>
  <c r="H31" i="18"/>
  <c r="P21" i="9"/>
  <c r="H19" i="18"/>
  <c r="P17" i="9"/>
  <c r="I131" i="23"/>
  <c r="H25" i="18"/>
  <c r="I127" i="23"/>
  <c r="H13" i="18"/>
  <c r="I130" i="23"/>
  <c r="I129"/>
  <c r="I125"/>
  <c r="N26" i="9"/>
  <c r="I128" i="23"/>
  <c r="Q15" i="9"/>
  <c r="R171" i="10" s="1"/>
  <c r="M171"/>
  <c r="Q14" i="9"/>
  <c r="T14" s="1"/>
  <c r="G12" i="18" s="1"/>
  <c r="M170" i="10"/>
  <c r="Q13" i="9"/>
  <c r="U13" s="1"/>
  <c r="P23"/>
  <c r="U23" s="1"/>
  <c r="H38" i="18" s="1"/>
  <c r="P19" i="9"/>
  <c r="T19" s="1"/>
  <c r="G27" i="18" s="1"/>
  <c r="P15" i="9"/>
  <c r="P20"/>
  <c r="U20" s="1"/>
  <c r="H29" i="18" s="1"/>
  <c r="U25" i="9"/>
  <c r="T25"/>
  <c r="U24"/>
  <c r="T24"/>
  <c r="P22"/>
  <c r="M172" i="10"/>
  <c r="Q16" i="9"/>
  <c r="M177" i="10"/>
  <c r="Q21" i="9"/>
  <c r="M173" i="10"/>
  <c r="Q17" i="9"/>
  <c r="M174" i="10"/>
  <c r="Q18" i="9"/>
  <c r="V14"/>
  <c r="H144" i="23"/>
  <c r="Z44" i="9"/>
  <c r="M169" i="10"/>
  <c r="C16" i="5"/>
  <c r="H8" i="18" l="1"/>
  <c r="T23" i="9"/>
  <c r="G39" i="18" s="1"/>
  <c r="H40"/>
  <c r="T15" i="9"/>
  <c r="X14"/>
  <c r="I26" i="23" s="1"/>
  <c r="H142"/>
  <c r="AA40" i="9"/>
  <c r="AA46" s="1"/>
  <c r="H139" i="23"/>
  <c r="Z37" i="9"/>
  <c r="AD37" s="1"/>
  <c r="H95" i="23" s="1"/>
  <c r="H140"/>
  <c r="Z38" i="9"/>
  <c r="H138" i="23"/>
  <c r="Z36" i="9"/>
  <c r="G105" i="18"/>
  <c r="G137" s="1"/>
  <c r="H137" i="23"/>
  <c r="Q46" i="9"/>
  <c r="Z39"/>
  <c r="H141" i="23"/>
  <c r="R170" i="10"/>
  <c r="U14" i="9"/>
  <c r="U15"/>
  <c r="T20"/>
  <c r="G30" i="18" s="1"/>
  <c r="U19" i="9"/>
  <c r="H26" i="18" s="1"/>
  <c r="Z35" i="9"/>
  <c r="R169" i="10"/>
  <c r="C17" i="5" s="1"/>
  <c r="T13" i="9"/>
  <c r="H82" i="10" s="1"/>
  <c r="R177"/>
  <c r="C21" i="5" s="1"/>
  <c r="T21" i="9"/>
  <c r="G33" i="18" s="1"/>
  <c r="U21" i="9"/>
  <c r="H32" i="18" s="1"/>
  <c r="U22" i="9"/>
  <c r="H35" i="18" s="1"/>
  <c r="T22" i="9"/>
  <c r="G36" i="18" s="1"/>
  <c r="R173" i="10"/>
  <c r="C19" i="5" s="1"/>
  <c r="T17" i="9"/>
  <c r="G21" i="18" s="1"/>
  <c r="U17" i="9"/>
  <c r="H20" i="18" s="1"/>
  <c r="R172" i="10"/>
  <c r="C18" i="5" s="1"/>
  <c r="T16" i="9"/>
  <c r="G18" i="18" s="1"/>
  <c r="U16" i="9"/>
  <c r="H17" i="18" s="1"/>
  <c r="R174" i="10"/>
  <c r="C20" i="5" s="1"/>
  <c r="T18" i="9"/>
  <c r="G24" i="18" s="1"/>
  <c r="U18" i="9"/>
  <c r="H23" i="18" s="1"/>
  <c r="R189" i="10"/>
  <c r="Q170"/>
  <c r="Q181" s="1"/>
  <c r="C14" i="21" s="1"/>
  <c r="Q26" i="9"/>
  <c r="V82" i="10"/>
  <c r="AB43" i="9"/>
  <c r="AC42"/>
  <c r="J27" i="3"/>
  <c r="J55" i="7" s="1"/>
  <c r="H26" i="6"/>
  <c r="M11"/>
  <c r="N27" i="3"/>
  <c r="J60" i="7" s="1"/>
  <c r="AL232" i="10"/>
  <c r="AK231"/>
  <c r="AL229"/>
  <c r="AL228"/>
  <c r="AK226"/>
  <c r="AK225"/>
  <c r="AK224"/>
  <c r="AK223"/>
  <c r="F57" i="9"/>
  <c r="W94" i="10"/>
  <c r="W95"/>
  <c r="G124"/>
  <c r="G123"/>
  <c r="C124"/>
  <c r="C123"/>
  <c r="C98"/>
  <c r="M96" s="1"/>
  <c r="W170"/>
  <c r="W171"/>
  <c r="W173"/>
  <c r="W174"/>
  <c r="W175"/>
  <c r="W176"/>
  <c r="W177"/>
  <c r="W178"/>
  <c r="W179"/>
  <c r="W169"/>
  <c r="AQ169"/>
  <c r="AQ170"/>
  <c r="AQ171"/>
  <c r="AQ172"/>
  <c r="AQ173"/>
  <c r="AQ174"/>
  <c r="AQ175"/>
  <c r="AQ176"/>
  <c r="AQ177"/>
  <c r="AQ178"/>
  <c r="AQ179"/>
  <c r="AQ168"/>
  <c r="AB169"/>
  <c r="AB168"/>
  <c r="N26" i="6"/>
  <c r="L26"/>
  <c r="K26"/>
  <c r="F30" s="1"/>
  <c r="J26"/>
  <c r="I26"/>
  <c r="D26"/>
  <c r="E26"/>
  <c r="V26" i="9"/>
  <c r="W25"/>
  <c r="Z23"/>
  <c r="Z22"/>
  <c r="Z21"/>
  <c r="P5" i="10"/>
  <c r="P14" s="1"/>
  <c r="D7" i="21" s="1"/>
  <c r="P18" i="10"/>
  <c r="P26" s="1"/>
  <c r="D10" i="21"/>
  <c r="C30" i="10"/>
  <c r="D9" i="21" s="1"/>
  <c r="B34" i="10"/>
  <c r="C44"/>
  <c r="D11" i="21" s="1"/>
  <c r="P81" i="10"/>
  <c r="U95"/>
  <c r="B105"/>
  <c r="B118" s="1"/>
  <c r="G118" s="1"/>
  <c r="B140"/>
  <c r="C18" i="21" s="1"/>
  <c r="C140" i="10"/>
  <c r="D18" i="21" s="1"/>
  <c r="B145" i="10"/>
  <c r="B156" s="1"/>
  <c r="C19" i="21" s="1"/>
  <c r="C156" i="10"/>
  <c r="D19" i="21" s="1"/>
  <c r="F160" i="10"/>
  <c r="L181"/>
  <c r="C21" i="21" s="1"/>
  <c r="Z13" i="9"/>
  <c r="Z14"/>
  <c r="Z15"/>
  <c r="Z16"/>
  <c r="Z17"/>
  <c r="Z18"/>
  <c r="Z19"/>
  <c r="Z20"/>
  <c r="AG35"/>
  <c r="H14" i="18" l="1"/>
  <c r="H84" i="10"/>
  <c r="C15" i="5" s="1"/>
  <c r="C24" s="1"/>
  <c r="H11" i="18"/>
  <c r="H41" s="1"/>
  <c r="H83" i="10"/>
  <c r="X13" i="9"/>
  <c r="G9" i="18"/>
  <c r="X15" i="9"/>
  <c r="I30" i="23" s="1"/>
  <c r="G15" i="18"/>
  <c r="G206" i="10"/>
  <c r="G202"/>
  <c r="G209"/>
  <c r="G204"/>
  <c r="G208"/>
  <c r="G203"/>
  <c r="G207"/>
  <c r="G205"/>
  <c r="P83"/>
  <c r="AD36" i="9"/>
  <c r="H91" i="23" s="1"/>
  <c r="H119" i="18"/>
  <c r="P85" i="10"/>
  <c r="H115" i="18"/>
  <c r="P84" i="10"/>
  <c r="U26" i="9"/>
  <c r="I133" i="23" s="1"/>
  <c r="H134" s="1"/>
  <c r="T26" i="9"/>
  <c r="B60" i="10"/>
  <c r="G60" s="1"/>
  <c r="H111" i="18"/>
  <c r="AB46" i="9"/>
  <c r="Z43"/>
  <c r="AC46"/>
  <c r="Z42"/>
  <c r="H135" i="18" s="1"/>
  <c r="P82" i="10"/>
  <c r="AD35" i="9"/>
  <c r="H107" i="18"/>
  <c r="H123"/>
  <c r="I146" i="23"/>
  <c r="C17" i="21"/>
  <c r="D13"/>
  <c r="W16" i="9"/>
  <c r="M25" i="13"/>
  <c r="E19" i="21"/>
  <c r="H48" i="22" s="1"/>
  <c r="F19" i="21"/>
  <c r="E18"/>
  <c r="H47" i="22" s="1"/>
  <c r="F18" i="21"/>
  <c r="B85" i="10"/>
  <c r="P27"/>
  <c r="D8" i="21"/>
  <c r="P15" i="10"/>
  <c r="B90"/>
  <c r="V85"/>
  <c r="V91"/>
  <c r="B91"/>
  <c r="V86"/>
  <c r="V84"/>
  <c r="V83"/>
  <c r="N25" i="13"/>
  <c r="F24" i="16" s="1"/>
  <c r="F29" i="6"/>
  <c r="F31" s="1"/>
  <c r="W21" i="9"/>
  <c r="W22"/>
  <c r="B86" i="10"/>
  <c r="G26" i="6"/>
  <c r="M26"/>
  <c r="AG168" i="10"/>
  <c r="AG180" s="1"/>
  <c r="W172"/>
  <c r="W181" s="1"/>
  <c r="AB180"/>
  <c r="AQ180"/>
  <c r="G198"/>
  <c r="C181"/>
  <c r="B181"/>
  <c r="B44"/>
  <c r="G44" s="1"/>
  <c r="B30"/>
  <c r="B15"/>
  <c r="G15" s="1"/>
  <c r="B157"/>
  <c r="G157"/>
  <c r="G141"/>
  <c r="B141"/>
  <c r="H42" i="18" l="1"/>
  <c r="G40"/>
  <c r="G42"/>
  <c r="G219" i="10"/>
  <c r="G215"/>
  <c r="G218"/>
  <c r="G217"/>
  <c r="G221"/>
  <c r="G222"/>
  <c r="G216"/>
  <c r="G220"/>
  <c r="H37" i="23"/>
  <c r="F18" i="13"/>
  <c r="Z46" i="9"/>
  <c r="J10" i="23"/>
  <c r="H137" i="18"/>
  <c r="H87" i="23"/>
  <c r="H117" s="1"/>
  <c r="G117" s="1"/>
  <c r="AD46" i="9"/>
  <c r="F17" i="21"/>
  <c r="E17"/>
  <c r="H46" i="22" s="1"/>
  <c r="H45" s="1"/>
  <c r="P94" i="10"/>
  <c r="D15" i="21" s="1"/>
  <c r="F17" i="13"/>
  <c r="X17" i="9"/>
  <c r="I38" i="23" s="1"/>
  <c r="C11" i="21"/>
  <c r="G30" i="10"/>
  <c r="C9" i="21"/>
  <c r="C10"/>
  <c r="M29" i="13" a="1"/>
  <c r="M29" s="1"/>
  <c r="E24" i="16"/>
  <c r="E8" i="21"/>
  <c r="F8"/>
  <c r="H85" i="22" s="1"/>
  <c r="H80" s="1"/>
  <c r="E7" i="21"/>
  <c r="F7"/>
  <c r="W18" i="9"/>
  <c r="B87" i="10"/>
  <c r="W15" i="9"/>
  <c r="B84" i="10"/>
  <c r="E16" i="13"/>
  <c r="B83" i="10"/>
  <c r="E15" i="13"/>
  <c r="V90" i="10"/>
  <c r="V89"/>
  <c r="W14" i="9"/>
  <c r="L170" i="10"/>
  <c r="W17" i="9"/>
  <c r="N27" i="13"/>
  <c r="W24" i="9"/>
  <c r="E14" i="13"/>
  <c r="P26" i="9"/>
  <c r="M181" i="10"/>
  <c r="B182"/>
  <c r="B88"/>
  <c r="B92"/>
  <c r="B89"/>
  <c r="X16" i="9" l="1"/>
  <c r="H33" i="23"/>
  <c r="H67" s="1"/>
  <c r="AD26" i="9"/>
  <c r="G160" i="10"/>
  <c r="D10" i="19"/>
  <c r="D9" s="1"/>
  <c r="M35" i="13"/>
  <c r="M39"/>
  <c r="M38"/>
  <c r="M33"/>
  <c r="M37"/>
  <c r="M41"/>
  <c r="M32"/>
  <c r="M36"/>
  <c r="M40"/>
  <c r="M34"/>
  <c r="C25" i="16"/>
  <c r="M31" i="13"/>
  <c r="M182" i="10"/>
  <c r="D21" i="21"/>
  <c r="E15"/>
  <c r="F15"/>
  <c r="P28" i="9"/>
  <c r="P29" s="1"/>
  <c r="H10" i="22"/>
  <c r="E10" i="21"/>
  <c r="F10"/>
  <c r="F11"/>
  <c r="E11"/>
  <c r="H11" i="22" s="1"/>
  <c r="N30" i="13"/>
  <c r="N35"/>
  <c r="N38"/>
  <c r="N33"/>
  <c r="N36"/>
  <c r="N41"/>
  <c r="N40"/>
  <c r="N34"/>
  <c r="N31"/>
  <c r="H24" i="16"/>
  <c r="G24"/>
  <c r="E9" i="21"/>
  <c r="F9"/>
  <c r="N29" i="13"/>
  <c r="D25" i="16" s="1"/>
  <c r="N39" i="13"/>
  <c r="N32"/>
  <c r="N37"/>
  <c r="H57" i="22"/>
  <c r="H56" s="1"/>
  <c r="W13" i="9"/>
  <c r="B82" i="10"/>
  <c r="B98" s="1"/>
  <c r="AL168"/>
  <c r="AL180" s="1"/>
  <c r="W19" i="9"/>
  <c r="W23"/>
  <c r="W20"/>
  <c r="G181" i="10"/>
  <c r="G182" s="1"/>
  <c r="G161" s="1"/>
  <c r="H94"/>
  <c r="R181"/>
  <c r="H9" i="22" l="1"/>
  <c r="H7" s="1"/>
  <c r="I11" i="21"/>
  <c r="I34" i="23"/>
  <c r="I67" s="1"/>
  <c r="X26" i="9"/>
  <c r="AF26"/>
  <c r="AF28" s="1"/>
  <c r="I150" i="23"/>
  <c r="H87" i="22"/>
  <c r="H86" s="1"/>
  <c r="H79" s="1"/>
  <c r="D4" i="19"/>
  <c r="D3" s="1"/>
  <c r="C13" i="21"/>
  <c r="C22" s="1"/>
  <c r="G98" i="10"/>
  <c r="G162" s="1"/>
  <c r="N42" i="13"/>
  <c r="F25" i="16" s="1"/>
  <c r="M42" i="13"/>
  <c r="E25" i="16" s="1"/>
  <c r="E21" i="21"/>
  <c r="F21"/>
  <c r="R182" i="10"/>
  <c r="D14" i="21"/>
  <c r="W26" i="9"/>
  <c r="J93" i="7"/>
  <c r="J69"/>
  <c r="J37"/>
  <c r="J35"/>
  <c r="J29"/>
  <c r="J26"/>
  <c r="J23"/>
  <c r="J17"/>
  <c r="J15"/>
  <c r="J13"/>
  <c r="H151" i="23" l="1"/>
  <c r="H153" s="1"/>
  <c r="I151"/>
  <c r="I153" s="1"/>
  <c r="D22" i="19"/>
  <c r="D21"/>
  <c r="E13" i="21"/>
  <c r="F13"/>
  <c r="M45" i="13" a="1"/>
  <c r="M45" s="1"/>
  <c r="N43"/>
  <c r="F14" i="21"/>
  <c r="H101" i="22" s="1"/>
  <c r="H100" s="1"/>
  <c r="H91" s="1"/>
  <c r="H78" s="1"/>
  <c r="E14" i="21"/>
  <c r="D22"/>
  <c r="C23" s="1"/>
  <c r="G25" i="16"/>
  <c r="H25"/>
  <c r="R27" i="3"/>
  <c r="J81" i="7" s="1"/>
  <c r="P27" i="3"/>
  <c r="J73" i="7" s="1"/>
  <c r="O27" i="3"/>
  <c r="S27"/>
  <c r="I27"/>
  <c r="L27"/>
  <c r="J58" i="7" s="1"/>
  <c r="H27" i="3"/>
  <c r="J48" i="7" s="1"/>
  <c r="G27" i="3"/>
  <c r="J46" i="7" s="1"/>
  <c r="F27" i="3"/>
  <c r="H30" s="1"/>
  <c r="E27"/>
  <c r="H16" i="22" l="1"/>
  <c r="H15" s="1"/>
  <c r="H3" s="1"/>
  <c r="H40"/>
  <c r="H39" s="1"/>
  <c r="I20" i="21"/>
  <c r="M49" i="13"/>
  <c r="M53"/>
  <c r="M47"/>
  <c r="M51"/>
  <c r="M48"/>
  <c r="M52"/>
  <c r="M56"/>
  <c r="M55"/>
  <c r="M50"/>
  <c r="M54"/>
  <c r="G153" i="23"/>
  <c r="D35" i="19"/>
  <c r="D34"/>
  <c r="C26" i="16"/>
  <c r="F22" i="21"/>
  <c r="N48" i="13"/>
  <c r="N49"/>
  <c r="N47"/>
  <c r="N53"/>
  <c r="N45"/>
  <c r="D26" i="16" s="1"/>
  <c r="N51" i="13"/>
  <c r="N50"/>
  <c r="N55"/>
  <c r="N56"/>
  <c r="N54"/>
  <c r="N52"/>
  <c r="N46"/>
  <c r="H31" i="3"/>
  <c r="H32" s="1"/>
  <c r="E22" i="21"/>
  <c r="J89" i="7"/>
  <c r="J97" s="1"/>
  <c r="J71"/>
  <c r="J86" s="1"/>
  <c r="J44"/>
  <c r="W96" i="10"/>
  <c r="H25" i="22" l="1"/>
  <c r="H51" s="1"/>
  <c r="H52" s="1"/>
  <c r="D53" i="19"/>
  <c r="D52"/>
  <c r="H68" i="22" s="1"/>
  <c r="H55" s="1"/>
  <c r="H105" s="1"/>
  <c r="E23" i="21"/>
  <c r="N57" i="13"/>
  <c r="F26" i="16" s="1"/>
  <c r="M57" i="13"/>
  <c r="M60" s="1" a="1"/>
  <c r="M60" s="1"/>
  <c r="F25"/>
  <c r="F5" i="16" s="1"/>
  <c r="J103" i="7"/>
  <c r="J101"/>
  <c r="M66" i="13" l="1"/>
  <c r="M70"/>
  <c r="M68"/>
  <c r="M65"/>
  <c r="M69"/>
  <c r="M64"/>
  <c r="M62"/>
  <c r="M63"/>
  <c r="M67"/>
  <c r="M71"/>
  <c r="C27" i="16"/>
  <c r="N58" i="13"/>
  <c r="E26" i="16"/>
  <c r="G26" s="1"/>
  <c r="N63" i="13"/>
  <c r="N68"/>
  <c r="N61"/>
  <c r="N71"/>
  <c r="N66"/>
  <c r="N69"/>
  <c r="N64"/>
  <c r="N70"/>
  <c r="N60"/>
  <c r="D27" i="16" s="1"/>
  <c r="N67" i="13"/>
  <c r="N62"/>
  <c r="N65"/>
  <c r="E25"/>
  <c r="E5" i="16" s="1"/>
  <c r="H26" l="1"/>
  <c r="H5"/>
  <c r="G5"/>
  <c r="E27" i="13"/>
  <c r="E29" s="1" a="1"/>
  <c r="E29" s="1"/>
  <c r="N72"/>
  <c r="F27" i="16" s="1"/>
  <c r="B26" i="23" l="1"/>
  <c r="C6" i="16"/>
  <c r="F29" i="13"/>
  <c r="E31"/>
  <c r="E35"/>
  <c r="E39"/>
  <c r="E34"/>
  <c r="E33"/>
  <c r="E37"/>
  <c r="E41"/>
  <c r="E32"/>
  <c r="E36"/>
  <c r="E40"/>
  <c r="E38"/>
  <c r="F31"/>
  <c r="F33"/>
  <c r="F37"/>
  <c r="F41"/>
  <c r="F34"/>
  <c r="F38"/>
  <c r="F32"/>
  <c r="F36"/>
  <c r="F40"/>
  <c r="F35"/>
  <c r="F39"/>
  <c r="M72"/>
  <c r="E30"/>
  <c r="M80" l="1" a="1"/>
  <c r="M80" s="1"/>
  <c r="E27" i="16"/>
  <c r="D6"/>
  <c r="N73" i="13"/>
  <c r="C28" i="16" l="1"/>
  <c r="M84" i="13"/>
  <c r="M88"/>
  <c r="M92"/>
  <c r="M89"/>
  <c r="M83"/>
  <c r="M87"/>
  <c r="M91"/>
  <c r="M85"/>
  <c r="M86"/>
  <c r="M90"/>
  <c r="M82"/>
  <c r="H27" i="16"/>
  <c r="G27"/>
  <c r="N82" i="13"/>
  <c r="N84"/>
  <c r="N80"/>
  <c r="D28" i="16" s="1"/>
  <c r="N88" i="13"/>
  <c r="N86"/>
  <c r="N91"/>
  <c r="N83"/>
  <c r="N87"/>
  <c r="N81"/>
  <c r="N85"/>
  <c r="N92"/>
  <c r="N89"/>
  <c r="N90"/>
  <c r="N93" l="1"/>
  <c r="F28" i="16" s="1"/>
  <c r="M93" i="13"/>
  <c r="M101" s="1" a="1"/>
  <c r="M101" s="1"/>
  <c r="C29" i="16" l="1"/>
  <c r="M104" i="13"/>
  <c r="M108"/>
  <c r="M112"/>
  <c r="M109"/>
  <c r="M107"/>
  <c r="M111"/>
  <c r="M106"/>
  <c r="M110"/>
  <c r="M103"/>
  <c r="M105"/>
  <c r="M113"/>
  <c r="N94"/>
  <c r="E28" i="16"/>
  <c r="H28" s="1"/>
  <c r="N102" i="13"/>
  <c r="N104"/>
  <c r="N111"/>
  <c r="N108"/>
  <c r="N113"/>
  <c r="N105"/>
  <c r="N110"/>
  <c r="N101"/>
  <c r="D29" i="16" s="1"/>
  <c r="N107" i="13"/>
  <c r="N109"/>
  <c r="N103"/>
  <c r="N112"/>
  <c r="N106"/>
  <c r="F42"/>
  <c r="F6" i="16" s="1"/>
  <c r="N114" i="13" l="1"/>
  <c r="F29" i="16" s="1"/>
  <c r="G28"/>
  <c r="M114" i="13"/>
  <c r="E29" i="16" s="1"/>
  <c r="E42" i="13"/>
  <c r="M119" l="1" a="1"/>
  <c r="M119" s="1"/>
  <c r="M129" s="1"/>
  <c r="N115"/>
  <c r="H29" i="16"/>
  <c r="G29"/>
  <c r="E43" i="13"/>
  <c r="E45" s="1" a="1"/>
  <c r="E45" s="1"/>
  <c r="E56" s="1"/>
  <c r="E6" i="16"/>
  <c r="N119" i="13" l="1"/>
  <c r="D30" i="16" s="1"/>
  <c r="N126" i="13"/>
  <c r="M122"/>
  <c r="M130"/>
  <c r="M126"/>
  <c r="N121"/>
  <c r="N127"/>
  <c r="N120"/>
  <c r="M123"/>
  <c r="M124"/>
  <c r="C30" i="16"/>
  <c r="N122" i="13"/>
  <c r="N130"/>
  <c r="N124"/>
  <c r="N123"/>
  <c r="M127"/>
  <c r="M128"/>
  <c r="M125"/>
  <c r="N131"/>
  <c r="N128"/>
  <c r="N129"/>
  <c r="N125"/>
  <c r="M131"/>
  <c r="M121"/>
  <c r="F52"/>
  <c r="F51"/>
  <c r="E53"/>
  <c r="F47"/>
  <c r="F50"/>
  <c r="E47"/>
  <c r="E50"/>
  <c r="E52"/>
  <c r="H6" i="16"/>
  <c r="G6"/>
  <c r="F56" i="13"/>
  <c r="F49"/>
  <c r="E49"/>
  <c r="E51"/>
  <c r="F53"/>
  <c r="F55"/>
  <c r="E55"/>
  <c r="E48"/>
  <c r="F48"/>
  <c r="F54"/>
  <c r="F45"/>
  <c r="E54"/>
  <c r="B30" i="23"/>
  <c r="C7" i="16"/>
  <c r="E46" i="13"/>
  <c r="N132" l="1"/>
  <c r="F30" i="16" s="1"/>
  <c r="M132" i="13"/>
  <c r="M136" s="1" a="1"/>
  <c r="M136" s="1"/>
  <c r="M141" s="1"/>
  <c r="D7" i="16"/>
  <c r="N133" i="13" l="1"/>
  <c r="E30" i="16"/>
  <c r="N148" i="13"/>
  <c r="N137"/>
  <c r="N142"/>
  <c r="M144"/>
  <c r="N147"/>
  <c r="N143"/>
  <c r="N144"/>
  <c r="M148"/>
  <c r="N141"/>
  <c r="N146"/>
  <c r="N140"/>
  <c r="N138"/>
  <c r="M139"/>
  <c r="M146"/>
  <c r="C31" i="16"/>
  <c r="M147" i="13"/>
  <c r="M145"/>
  <c r="M142"/>
  <c r="M138"/>
  <c r="N139"/>
  <c r="N145"/>
  <c r="N136"/>
  <c r="D31" i="16" s="1"/>
  <c r="M143" i="13"/>
  <c r="M140"/>
  <c r="N149" l="1"/>
  <c r="F31" i="16" s="1"/>
  <c r="M149" i="13"/>
  <c r="M154" s="1" a="1"/>
  <c r="M154" s="1"/>
  <c r="C32" i="16" s="1"/>
  <c r="G30"/>
  <c r="H30"/>
  <c r="E57" i="13"/>
  <c r="E7" i="16" s="1"/>
  <c r="F57" i="13"/>
  <c r="F7" i="16" s="1"/>
  <c r="E31" l="1"/>
  <c r="G31" s="1"/>
  <c r="N157" i="13"/>
  <c r="N166"/>
  <c r="N160"/>
  <c r="N158"/>
  <c r="M159"/>
  <c r="M161"/>
  <c r="M162"/>
  <c r="N156"/>
  <c r="M157"/>
  <c r="N163"/>
  <c r="N165"/>
  <c r="N161"/>
  <c r="M156"/>
  <c r="M165"/>
  <c r="M166"/>
  <c r="N159"/>
  <c r="N162"/>
  <c r="M164"/>
  <c r="M158"/>
  <c r="N164"/>
  <c r="N154"/>
  <c r="D32" i="16" s="1"/>
  <c r="N155" i="13"/>
  <c r="N150"/>
  <c r="M160"/>
  <c r="M163"/>
  <c r="H7" i="16"/>
  <c r="G7"/>
  <c r="E58" i="13"/>
  <c r="E60" s="1" a="1"/>
  <c r="E60" s="1"/>
  <c r="H31" i="16" l="1"/>
  <c r="M167" i="13"/>
  <c r="E32" i="16" s="1"/>
  <c r="N167" i="13"/>
  <c r="F32" i="16" s="1"/>
  <c r="M171" i="13" a="1"/>
  <c r="M171" s="1"/>
  <c r="B34" i="23"/>
  <c r="C8" i="16"/>
  <c r="E65" i="13"/>
  <c r="E69"/>
  <c r="E64"/>
  <c r="E68"/>
  <c r="E62"/>
  <c r="E63"/>
  <c r="E67"/>
  <c r="E71"/>
  <c r="E66"/>
  <c r="E70"/>
  <c r="F60"/>
  <c r="F65"/>
  <c r="F68"/>
  <c r="F63"/>
  <c r="F67"/>
  <c r="F71"/>
  <c r="F66"/>
  <c r="F70"/>
  <c r="F69"/>
  <c r="F64"/>
  <c r="F62"/>
  <c r="E61"/>
  <c r="H32" i="16" l="1"/>
  <c r="G32"/>
  <c r="N168" i="13"/>
  <c r="C33" i="16"/>
  <c r="M174" i="13"/>
  <c r="M178"/>
  <c r="M182"/>
  <c r="M179"/>
  <c r="M177"/>
  <c r="M181"/>
  <c r="M183"/>
  <c r="M176"/>
  <c r="M180"/>
  <c r="M173"/>
  <c r="M175"/>
  <c r="N171"/>
  <c r="D33" i="16" s="1"/>
  <c r="D36" s="1"/>
  <c r="N176" i="13"/>
  <c r="N181"/>
  <c r="N174"/>
  <c r="N179"/>
  <c r="N180"/>
  <c r="N183"/>
  <c r="N173"/>
  <c r="N178"/>
  <c r="N172"/>
  <c r="N177"/>
  <c r="N175"/>
  <c r="N182"/>
  <c r="D8" i="16"/>
  <c r="N184" i="13" l="1"/>
  <c r="F33" i="16" s="1"/>
  <c r="F36" s="1"/>
  <c r="M184" i="13"/>
  <c r="E33" i="16" s="1"/>
  <c r="E36" s="1"/>
  <c r="M189" i="13" l="1" a="1"/>
  <c r="M189" s="1"/>
  <c r="M199" s="1"/>
  <c r="N185"/>
  <c r="G33" i="16"/>
  <c r="G36" s="1"/>
  <c r="H33"/>
  <c r="H36" s="1"/>
  <c r="N189" i="13" l="1"/>
  <c r="D34" i="16" s="1"/>
  <c r="N199" i="13"/>
  <c r="M192"/>
  <c r="M193"/>
  <c r="M196"/>
  <c r="M194"/>
  <c r="N197"/>
  <c r="N192"/>
  <c r="N191"/>
  <c r="N201"/>
  <c r="N194"/>
  <c r="N196"/>
  <c r="M197"/>
  <c r="C34" i="16"/>
  <c r="N198" i="13"/>
  <c r="N200"/>
  <c r="M201"/>
  <c r="M198"/>
  <c r="M195"/>
  <c r="N190"/>
  <c r="N193"/>
  <c r="N195"/>
  <c r="M200"/>
  <c r="M191"/>
  <c r="M202" l="1"/>
  <c r="E34" i="16" s="1"/>
  <c r="N202" i="13"/>
  <c r="F34" i="16" s="1"/>
  <c r="F72" i="13"/>
  <c r="F8" i="16" s="1"/>
  <c r="F16" s="1"/>
  <c r="E72" i="13"/>
  <c r="E8" i="16" s="1"/>
  <c r="G34" l="1"/>
  <c r="H34"/>
  <c r="N203" i="13"/>
  <c r="G8" i="16"/>
  <c r="G16" s="1"/>
  <c r="H8"/>
  <c r="H16" s="1"/>
  <c r="E16"/>
  <c r="E73" i="13"/>
  <c r="E80" s="1" a="1"/>
  <c r="E80" s="1"/>
  <c r="B38" i="23" l="1"/>
  <c r="C9" i="16"/>
  <c r="F85" i="13"/>
  <c r="F89"/>
  <c r="F82"/>
  <c r="E86"/>
  <c r="E90"/>
  <c r="F84"/>
  <c r="F88"/>
  <c r="F92"/>
  <c r="E85"/>
  <c r="E89"/>
  <c r="E82"/>
  <c r="F87"/>
  <c r="E84"/>
  <c r="E88"/>
  <c r="F86"/>
  <c r="F90"/>
  <c r="E83"/>
  <c r="E87"/>
  <c r="E91"/>
  <c r="F83"/>
  <c r="F91"/>
  <c r="E92"/>
  <c r="F80"/>
  <c r="D9" i="16" l="1"/>
  <c r="E81" i="13"/>
  <c r="E93" l="1"/>
  <c r="E9" i="16" s="1"/>
  <c r="F93" i="13" l="1"/>
  <c r="E94" l="1"/>
  <c r="E101" s="1" a="1"/>
  <c r="E101" s="1"/>
  <c r="F9" i="16"/>
  <c r="B42" i="23" l="1"/>
  <c r="C10" i="16"/>
  <c r="G9"/>
  <c r="H9"/>
  <c r="E107" i="13"/>
  <c r="E106"/>
  <c r="E111"/>
  <c r="E108"/>
  <c r="E113"/>
  <c r="F108"/>
  <c r="F101"/>
  <c r="E110"/>
  <c r="F105"/>
  <c r="E112"/>
  <c r="F107"/>
  <c r="F112"/>
  <c r="E102"/>
  <c r="E103"/>
  <c r="F109"/>
  <c r="F106"/>
  <c r="F111"/>
  <c r="E105"/>
  <c r="F110"/>
  <c r="F113"/>
  <c r="F103"/>
  <c r="E104"/>
  <c r="E109"/>
  <c r="F104"/>
  <c r="F114" l="1"/>
  <c r="F10" i="16" s="1"/>
  <c r="E114" i="13"/>
  <c r="E10" i="16" s="1"/>
  <c r="D10"/>
  <c r="D11" l="1"/>
  <c r="G10"/>
  <c r="H10"/>
  <c r="E115" i="13"/>
  <c r="E119" s="1" a="1"/>
  <c r="E119" s="1"/>
  <c r="C11" i="16" s="1"/>
  <c r="E123" i="13" l="1"/>
  <c r="E126"/>
  <c r="E128"/>
  <c r="F123"/>
  <c r="E130"/>
  <c r="F125"/>
  <c r="E121"/>
  <c r="F127"/>
  <c r="F121"/>
  <c r="B46" i="23"/>
  <c r="E122" i="13"/>
  <c r="F130"/>
  <c r="E124"/>
  <c r="E129"/>
  <c r="F124"/>
  <c r="E131"/>
  <c r="E127"/>
  <c r="F128"/>
  <c r="F119"/>
  <c r="E120"/>
  <c r="F126"/>
  <c r="F129"/>
  <c r="F122"/>
  <c r="F131"/>
  <c r="E125"/>
  <c r="F132" l="1"/>
  <c r="F11" i="16" s="1"/>
  <c r="E132" i="13"/>
  <c r="E11" i="16" s="1"/>
  <c r="H11" l="1"/>
  <c r="E133" i="13"/>
  <c r="E136" s="1" a="1"/>
  <c r="E136" s="1"/>
  <c r="C12" i="16" s="1"/>
  <c r="G11"/>
  <c r="E141" i="13" l="1"/>
  <c r="E139"/>
  <c r="F139"/>
  <c r="E145"/>
  <c r="E143"/>
  <c r="E148"/>
  <c r="F143"/>
  <c r="F144"/>
  <c r="F142"/>
  <c r="F147"/>
  <c r="B50" i="23"/>
  <c r="F138" i="13"/>
  <c r="E142"/>
  <c r="E144"/>
  <c r="E146"/>
  <c r="F140"/>
  <c r="E137"/>
  <c r="E138"/>
  <c r="E147"/>
  <c r="F136"/>
  <c r="D12" i="16" s="1"/>
  <c r="F141" i="13"/>
  <c r="F148"/>
  <c r="F145"/>
  <c r="F146"/>
  <c r="E140"/>
  <c r="F149" l="1"/>
  <c r="F12" i="16" s="1"/>
  <c r="E149" i="13"/>
  <c r="E12" i="16" s="1"/>
  <c r="G12" l="1"/>
  <c r="E150" i="13"/>
  <c r="H12" i="16"/>
  <c r="E154" i="13" a="1"/>
  <c r="E154" s="1"/>
  <c r="B54" i="23" l="1"/>
  <c r="C13" i="16"/>
  <c r="F159" i="13"/>
  <c r="F163"/>
  <c r="F156"/>
  <c r="E160"/>
  <c r="E164"/>
  <c r="F158"/>
  <c r="F162"/>
  <c r="F166"/>
  <c r="E159"/>
  <c r="E163"/>
  <c r="E156"/>
  <c r="F161"/>
  <c r="E158"/>
  <c r="E166"/>
  <c r="F160"/>
  <c r="F164"/>
  <c r="E157"/>
  <c r="E161"/>
  <c r="E165"/>
  <c r="F157"/>
  <c r="F165"/>
  <c r="E162"/>
  <c r="F154"/>
  <c r="E155"/>
  <c r="D13" i="16" l="1"/>
  <c r="F167" i="13"/>
  <c r="F13" i="16" s="1"/>
  <c r="E167" i="13"/>
  <c r="E13" i="16" s="1"/>
  <c r="G13" l="1"/>
  <c r="H13"/>
  <c r="E168" i="13"/>
  <c r="E171" s="1" a="1"/>
  <c r="E171" s="1"/>
  <c r="C14" i="16" s="1"/>
  <c r="F174" i="13" l="1"/>
  <c r="F178"/>
  <c r="F182"/>
  <c r="E175"/>
  <c r="E179"/>
  <c r="E183"/>
  <c r="F177"/>
  <c r="F181"/>
  <c r="E174"/>
  <c r="E178"/>
  <c r="E182"/>
  <c r="F176"/>
  <c r="F173"/>
  <c r="E181"/>
  <c r="F175"/>
  <c r="F179"/>
  <c r="F183"/>
  <c r="E176"/>
  <c r="E180"/>
  <c r="E173"/>
  <c r="F180"/>
  <c r="E177"/>
  <c r="E172"/>
  <c r="F171"/>
  <c r="D14" i="16" l="1"/>
  <c r="F184" i="13"/>
  <c r="D15" i="16" l="1"/>
  <c r="F14"/>
  <c r="E184" i="13"/>
  <c r="E185" l="1"/>
  <c r="E189" s="1" a="1"/>
  <c r="E189" s="1"/>
  <c r="B65" i="23" s="1"/>
  <c r="C15" i="16"/>
  <c r="E14"/>
  <c r="G14" l="1"/>
  <c r="H14"/>
  <c r="E197" i="13"/>
  <c r="F198"/>
  <c r="E200"/>
  <c r="E191"/>
  <c r="F191"/>
  <c r="F192"/>
  <c r="F201"/>
  <c r="E195"/>
  <c r="E201"/>
  <c r="E196"/>
  <c r="E198"/>
  <c r="F193"/>
  <c r="E190"/>
  <c r="F195"/>
  <c r="F197"/>
  <c r="F189"/>
  <c r="F199"/>
  <c r="F196"/>
  <c r="F200"/>
  <c r="E192"/>
  <c r="E193"/>
  <c r="E194"/>
  <c r="E199"/>
  <c r="F194"/>
  <c r="F202" l="1"/>
  <c r="F15" i="16" s="1"/>
  <c r="E202" i="13"/>
  <c r="E15" i="16" s="1"/>
  <c r="P95" i="10"/>
  <c r="S95" l="1"/>
  <c r="O162"/>
  <c r="G15" i="16"/>
  <c r="H15"/>
  <c r="E203" i="13"/>
  <c r="M162" i="10" l="1"/>
</calcChain>
</file>

<file path=xl/sharedStrings.xml><?xml version="1.0" encoding="utf-8"?>
<sst xmlns="http://schemas.openxmlformats.org/spreadsheetml/2006/main" count="2758" uniqueCount="1886">
  <si>
    <t>valeur initiale du client</t>
  </si>
  <si>
    <t>Pas effac</t>
  </si>
  <si>
    <t>VENTES</t>
  </si>
  <si>
    <r>
      <t xml:space="preserve"> </t>
    </r>
    <r>
      <rPr>
        <b/>
        <sz val="12"/>
        <color theme="1"/>
        <rFont val="Times New Roman"/>
        <family val="2"/>
        <scheme val="minor"/>
      </rPr>
      <t>FACTURES -aux -CLIENTS</t>
    </r>
  </si>
  <si>
    <t>N-Cl</t>
  </si>
  <si>
    <t>Num cli</t>
  </si>
  <si>
    <t>Clients</t>
  </si>
  <si>
    <t>V.I.</t>
  </si>
  <si>
    <t>PMCN</t>
  </si>
  <si>
    <t>date</t>
  </si>
  <si>
    <t>Fact-N°</t>
  </si>
  <si>
    <t>HTVA</t>
  </si>
  <si>
    <t>TVAC</t>
  </si>
  <si>
    <t>note de crédit</t>
  </si>
  <si>
    <t>Nom client</t>
  </si>
  <si>
    <t>extrait</t>
  </si>
  <si>
    <t>montant(+)</t>
  </si>
  <si>
    <t>PCMN</t>
  </si>
  <si>
    <t>Ne plus utilisé</t>
  </si>
  <si>
    <t>total</t>
  </si>
  <si>
    <t>valeur initiale du fournisseur</t>
  </si>
  <si>
    <t>FACTURES -des- FOURNISSEURS</t>
  </si>
  <si>
    <t>N-Fo</t>
  </si>
  <si>
    <t>Num Four</t>
  </si>
  <si>
    <t>fournisseurs</t>
  </si>
  <si>
    <t>TVA récup</t>
  </si>
  <si>
    <t>Mobilier &amp; M.R.</t>
  </si>
  <si>
    <t>Marchandise</t>
  </si>
  <si>
    <t>TOTAL</t>
  </si>
  <si>
    <t>Machine</t>
  </si>
  <si>
    <t>TVA due</t>
  </si>
  <si>
    <t>outillage</t>
  </si>
  <si>
    <t>IMO</t>
  </si>
  <si>
    <t>9</t>
  </si>
  <si>
    <t>10</t>
  </si>
  <si>
    <t>11</t>
  </si>
  <si>
    <t>12</t>
  </si>
  <si>
    <t>13</t>
  </si>
  <si>
    <t>14</t>
  </si>
  <si>
    <t>BANQ-CREDIT</t>
  </si>
  <si>
    <t>CAISSE-BANQ</t>
  </si>
  <si>
    <t>BQPOST-BANQ</t>
  </si>
  <si>
    <t>CREDIT-BANQ</t>
  </si>
  <si>
    <t>BANQ-CAISSE</t>
  </si>
  <si>
    <t>CAISSE-BQPOST</t>
  </si>
  <si>
    <t>BQPOST-CAISSE</t>
  </si>
  <si>
    <t>CREDIT-CAISSE</t>
  </si>
  <si>
    <t>BANQ-POST</t>
  </si>
  <si>
    <t>CAISSE-CREDIT</t>
  </si>
  <si>
    <t>BQPOST-CREDIT</t>
  </si>
  <si>
    <t>CREDIT-POST</t>
  </si>
  <si>
    <t>note de credit</t>
  </si>
  <si>
    <t>paye fourn</t>
  </si>
  <si>
    <t>paye fournisseur</t>
  </si>
  <si>
    <t>N°</t>
  </si>
  <si>
    <t>Date</t>
  </si>
  <si>
    <t>Ops cocontractan</t>
  </si>
  <si>
    <t>ACHATS HORS TVA</t>
  </si>
  <si>
    <t>LIVRE DES ENTREES (ACHATS)</t>
  </si>
  <si>
    <t>Vérification</t>
  </si>
  <si>
    <t>=</t>
  </si>
  <si>
    <t>////////</t>
  </si>
  <si>
    <t>Livraisons       intracom</t>
  </si>
  <si>
    <t>autres      ops</t>
  </si>
  <si>
    <t>notes de crédit</t>
  </si>
  <si>
    <t>TVA</t>
  </si>
  <si>
    <t>01</t>
  </si>
  <si>
    <t>02</t>
  </si>
  <si>
    <t>03</t>
  </si>
  <si>
    <t>Fournisseurs</t>
  </si>
  <si>
    <t>Nom et adresse du décrarant</t>
  </si>
  <si>
    <t>N° TVA du déclarant :</t>
  </si>
  <si>
    <t>Opérations soumises à un régime particulier</t>
  </si>
  <si>
    <t>A</t>
  </si>
  <si>
    <t>B</t>
  </si>
  <si>
    <t>Opérations pour lesquelles la TVA est due</t>
  </si>
  <si>
    <t>DECLARATION A LA TVA</t>
  </si>
  <si>
    <t>Période :</t>
  </si>
  <si>
    <t>Mois :</t>
  </si>
  <si>
    <t>Trimestre :</t>
  </si>
  <si>
    <t>demande de restitution:</t>
  </si>
  <si>
    <t>demade formulaire payement</t>
  </si>
  <si>
    <t>00</t>
  </si>
  <si>
    <t>- au taux de 6 p.c.</t>
  </si>
  <si>
    <t>- au taux de 21 p.c.</t>
  </si>
  <si>
    <t>- au taux de 12 p.c.</t>
  </si>
  <si>
    <t>C</t>
  </si>
  <si>
    <t>Services pour lesquels la TVA étrangère</t>
  </si>
  <si>
    <t>est due par le cocontractant</t>
  </si>
  <si>
    <t>44</t>
  </si>
  <si>
    <t>D</t>
  </si>
  <si>
    <t>par le cocontractant</t>
  </si>
  <si>
    <t>45</t>
  </si>
  <si>
    <t>E</t>
  </si>
  <si>
    <t>Livraisons intracommunautaires exemptées</t>
  </si>
  <si>
    <t>effectuées en Belgique et ventes ABC</t>
  </si>
  <si>
    <t>46</t>
  </si>
  <si>
    <t>47</t>
  </si>
  <si>
    <t>F</t>
  </si>
  <si>
    <t>Autres opérations exemptées et autres</t>
  </si>
  <si>
    <t>opérations effectuées à l'étranger</t>
  </si>
  <si>
    <t>G</t>
  </si>
  <si>
    <t>Montant des notes de crédit délivrées et des</t>
  </si>
  <si>
    <t>corrections négatives</t>
  </si>
  <si>
    <t>-relatif aux opérations inscrites en grille 44 et 46</t>
  </si>
  <si>
    <t>-relatif aux autres opérations du cadre II</t>
  </si>
  <si>
    <t>48</t>
  </si>
  <si>
    <t>49</t>
  </si>
  <si>
    <t>Renseignements Généraux</t>
  </si>
  <si>
    <t>OPERATION A LA SORTIE                                II</t>
  </si>
  <si>
    <t>Montant des opérations à l'entrée compte tenu</t>
  </si>
  <si>
    <t>des notes de crédit reçues et autres corrections :</t>
  </si>
  <si>
    <t>- marchandises, matières premières et matières</t>
  </si>
  <si>
    <t>auxiliaires</t>
  </si>
  <si>
    <t>81</t>
  </si>
  <si>
    <t>82</t>
  </si>
  <si>
    <t>- services et biens divers</t>
  </si>
  <si>
    <t>- biens d'investissements</t>
  </si>
  <si>
    <t>83</t>
  </si>
  <si>
    <t>Montant des notes de crédit reçuess et des</t>
  </si>
  <si>
    <t>corrections négatives :</t>
  </si>
  <si>
    <t>- relatif aux opérations inscrites en grilles 86 et 88</t>
  </si>
  <si>
    <t>Acquisitions intracommunautaires effectuées</t>
  </si>
  <si>
    <t>en Belgique et ventes ABC</t>
  </si>
  <si>
    <t>Autres opérations à l'entrée pour lesquelles</t>
  </si>
  <si>
    <t>la TVA est due par le déclarant</t>
  </si>
  <si>
    <t>de perception</t>
  </si>
  <si>
    <t>84</t>
  </si>
  <si>
    <t>- relatif aux autres opérations du cadre III</t>
  </si>
  <si>
    <t>85</t>
  </si>
  <si>
    <t>86</t>
  </si>
  <si>
    <t>87</t>
  </si>
  <si>
    <t>88</t>
  </si>
  <si>
    <t>OPERATION A L'ENTREE                                III</t>
  </si>
  <si>
    <t>BE0</t>
  </si>
  <si>
    <t>TVA relative aux opérations déclaréess en :</t>
  </si>
  <si>
    <t>- grilles 01, 02, 03</t>
  </si>
  <si>
    <t>- grilles 86 et 88</t>
  </si>
  <si>
    <t>- grille 87, à l'exception des importations</t>
  </si>
  <si>
    <t>avec report de perception</t>
  </si>
  <si>
    <t>TVA relative aux importations avec report</t>
  </si>
  <si>
    <t>TVA à récupérer mentionnée sur notes de</t>
  </si>
  <si>
    <t>crédit délivrées</t>
  </si>
  <si>
    <t>Diverses régularisations TVA en faveur de l'Etat</t>
  </si>
  <si>
    <t>A ne pas complèter</t>
  </si>
  <si>
    <t>Total des grilles 54 ,55, 56, 57, 61, 63</t>
  </si>
  <si>
    <t>TVA déductible</t>
  </si>
  <si>
    <t>Diverses régularisations TVA en faveur du déclarant</t>
  </si>
  <si>
    <t>TVA à récupérer mentionnée sur les notes de crédit délivrées</t>
  </si>
  <si>
    <t>A ne pas compléter</t>
  </si>
  <si>
    <t>Total des grilles 59, 62, 64</t>
  </si>
  <si>
    <t>Une seule des deux grilles peut-être remplie</t>
  </si>
  <si>
    <t>Taxe due à l'Etat : grille XX - grille YY</t>
  </si>
  <si>
    <t>TVA réellement due pour la période du 1er au 20 décembre</t>
  </si>
  <si>
    <t>Concerne uniquement la déclaration</t>
  </si>
  <si>
    <t>de l'année civile ou celle relative à la cessation d'activité</t>
  </si>
  <si>
    <t>Pas de clients à reprendre sur le listing des clients (case à cocher par une croix)</t>
  </si>
  <si>
    <t>Déclaration certifiée sincère et complète</t>
  </si>
  <si>
    <t>Nom, qualité et numéro de téléphone du (des)</t>
  </si>
  <si>
    <t>signataires :</t>
  </si>
  <si>
    <t>Date :</t>
  </si>
  <si>
    <t>Signature</t>
  </si>
  <si>
    <t>Cadre réservé à l'administration</t>
  </si>
  <si>
    <t>1</t>
  </si>
  <si>
    <t>AB</t>
  </si>
  <si>
    <t>jour</t>
  </si>
  <si>
    <t>mois</t>
  </si>
  <si>
    <t>année</t>
  </si>
  <si>
    <t>2</t>
  </si>
  <si>
    <t>0</t>
  </si>
  <si>
    <t>CD</t>
  </si>
  <si>
    <t>Cde</t>
  </si>
  <si>
    <t>PERIODE</t>
  </si>
  <si>
    <t>TAXES DUES                    IV</t>
  </si>
  <si>
    <t>TAXES DEDUCTIBLES           V</t>
  </si>
  <si>
    <t>SOLDES   VI</t>
  </si>
  <si>
    <t>ACOMPTE  VII</t>
  </si>
  <si>
    <t>Liste clients néant VIII</t>
  </si>
  <si>
    <t>DATE &amp; SIGNATURE     IX</t>
  </si>
  <si>
    <t>P2</t>
  </si>
  <si>
    <t>Concerne uniquement la déclaration mensuelle de décembre</t>
  </si>
  <si>
    <t>54</t>
  </si>
  <si>
    <t>55</t>
  </si>
  <si>
    <t>56</t>
  </si>
  <si>
    <t>Sommes dues par l'Etat : grille YY - grille XX</t>
  </si>
  <si>
    <t>57</t>
  </si>
  <si>
    <t>61</t>
  </si>
  <si>
    <t>63</t>
  </si>
  <si>
    <t>XX</t>
  </si>
  <si>
    <t>65</t>
  </si>
  <si>
    <t>59</t>
  </si>
  <si>
    <t>62</t>
  </si>
  <si>
    <t>64</t>
  </si>
  <si>
    <t>66</t>
  </si>
  <si>
    <t>YY</t>
  </si>
  <si>
    <t>71</t>
  </si>
  <si>
    <t>72</t>
  </si>
  <si>
    <t>91</t>
  </si>
  <si>
    <t xml:space="preserve">Services intracommunautaires avec report </t>
  </si>
  <si>
    <t>Ameura</t>
  </si>
  <si>
    <t>Ets Vitali</t>
  </si>
  <si>
    <t>Oliveti</t>
  </si>
  <si>
    <t>Belgacom</t>
  </si>
  <si>
    <t>AZ Pub</t>
  </si>
  <si>
    <t>Lavo vitres</t>
  </si>
  <si>
    <t>Au drap FR</t>
  </si>
  <si>
    <t>Ets Vitali   (NC)</t>
  </si>
  <si>
    <t>Citroen  + 1/2 tva</t>
  </si>
  <si>
    <t>FICHIER INITIAL à placer dans Le fichier BILAN AC-PA</t>
  </si>
  <si>
    <t>machine</t>
  </si>
  <si>
    <t>capital</t>
  </si>
  <si>
    <t>Emprunt</t>
  </si>
  <si>
    <t>Artésia (emprunt 3 ans)</t>
  </si>
  <si>
    <t>mobilier</t>
  </si>
  <si>
    <t>banq poste</t>
  </si>
  <si>
    <t>fournisseur</t>
  </si>
  <si>
    <t>client</t>
  </si>
  <si>
    <t>Banque</t>
  </si>
  <si>
    <t>Stocks</t>
  </si>
  <si>
    <t>caisse</t>
  </si>
  <si>
    <t>Inscrire ici les factures CLIENTS</t>
  </si>
  <si>
    <t>PAS EFFACER</t>
  </si>
  <si>
    <t>Extrait Banq CLIENTS</t>
  </si>
  <si>
    <t>dénomination</t>
  </si>
  <si>
    <t>4</t>
  </si>
  <si>
    <t>Inscrire ici les factures FOURNISSEURS</t>
  </si>
  <si>
    <t>Entre. Répar.</t>
  </si>
  <si>
    <t>Pub.</t>
  </si>
  <si>
    <t>8</t>
  </si>
  <si>
    <t>Livres</t>
  </si>
  <si>
    <t>voiture</t>
  </si>
  <si>
    <t>"(RECHERCHEV(E19;'Val-Départ'!E26:H26;2;FAUX)"</t>
  </si>
  <si>
    <t>"=SI(P15=D15;P15;SI(P15=D15+I5;P5;SI(P15=I15;P5;SI(P15="";P15;""))))"</t>
  </si>
  <si>
    <t>"=SI(ESTNA(RECHERCHEV($E$19;'Val-Départ'!$E$26:$H$26;2;FAUX));";RECHERCHEV($E$19;'Val-Départ'!$E$26:$H$26;2;FAUX))"</t>
  </si>
  <si>
    <t>le  " devant et à la fin de la formule, éviter que la formule soit active</t>
  </si>
  <si>
    <t>1- recherche dans fichier Gr livACT-PAS dans la case E19 (mobilier)</t>
  </si>
  <si>
    <t>2- dans fichier Val-départ la case de (E26 à H33) le mot (mobilier)</t>
  </si>
  <si>
    <t>3- la 2eme colonne</t>
  </si>
  <si>
    <t>4- faux désigne si une erreur est possible</t>
  </si>
  <si>
    <t>Si on a une erreur du type #N/A, on ajoute alors</t>
  </si>
  <si>
    <t>=SI(ESTNA</t>
  </si>
  <si>
    <t>Pour éviter l'inscription #N/A</t>
  </si>
  <si>
    <t>;""; indique de laisser la case vide</t>
  </si>
  <si>
    <r>
      <t xml:space="preserve">et on ajoute l'instruction </t>
    </r>
    <r>
      <rPr>
        <b/>
        <sz val="11"/>
        <color theme="1"/>
        <rFont val="Times New Roman"/>
        <family val="2"/>
        <scheme val="minor"/>
      </rPr>
      <t>RECHERCHEV(E19;'Val-Départ'!E26:H26;2;FAUX)</t>
    </r>
    <r>
      <rPr>
        <sz val="11"/>
        <color theme="1"/>
        <rFont val="Times New Roman"/>
        <family val="2"/>
        <scheme val="minor"/>
      </rPr>
      <t>"</t>
    </r>
  </si>
  <si>
    <t>$E$19 le signe $ indique de garder la case et ainsi d'éviter des erreurs</t>
  </si>
  <si>
    <t>"=SI(OU('Val-Départ'!$E$26="mobilier";'Val-Départ'!$E$26="outillage";'Val-Départ'!$E$26="machine";'Val-Départ'!$E$26="");" ";RECHERCHEV('Val-Départ'!$E$26;'Val-Départ'!$E$26:$H$26;3;FAUX))"</t>
  </si>
  <si>
    <t>Cette formule permet d'éviter d'écrire le résultat de "mobilier" - "machine" - "outillage" et "valeur vide" dans (600    ACHATS MARCHANDISES)</t>
  </si>
  <si>
    <t>=SI(OU('Val-Départ'!$E$26=mobilier";'Val-Départ'!$E$26="outillage";'Val-Départ'!$E$26="machine";'Val-Départ'!$E$26="")</t>
  </si>
  <si>
    <t>;" ";RECHERCHEV('Val-Départ'!$E$26;'Val-Départ'!$E$26:$H$26;3;FAUX))"</t>
  </si>
  <si>
    <t>"=SI(('Val-Départ'!$E$27="");"";RECHERCHEV('Val-Départ'!$E$27;'Val-Départ'!$E$27:$H$27;4;FAUX))"</t>
  </si>
  <si>
    <t>Formules utilisées pour TVA achats les "" au début et à la fin veut dire formule en modeTEXTE</t>
  </si>
  <si>
    <t>Fourmule utilisée pour Achats fournisseurs  (les "" au début et à la fin veut dire formule en mode texte)</t>
  </si>
  <si>
    <t>VOIR  case dans  Gr li ACT-PAS</t>
  </si>
  <si>
    <t xml:space="preserve"> Mobilier - outillage - Machine</t>
  </si>
  <si>
    <t>directement dans les bonnes cases</t>
  </si>
  <si>
    <t>la fonction RECHERCHEV permet de placer</t>
  </si>
  <si>
    <t>C-</t>
  </si>
  <si>
    <t>D+</t>
  </si>
  <si>
    <t xml:space="preserve"> dans compte résultat 700</t>
  </si>
  <si>
    <t>dans compte résultat 600</t>
  </si>
  <si>
    <t>SC</t>
  </si>
  <si>
    <t>sd</t>
  </si>
  <si>
    <t>c</t>
  </si>
  <si>
    <t>d</t>
  </si>
  <si>
    <t>C+</t>
  </si>
  <si>
    <t>Vente Mach</t>
  </si>
  <si>
    <t>D-</t>
  </si>
  <si>
    <t>TVA récup.</t>
  </si>
  <si>
    <t>Achat march</t>
  </si>
  <si>
    <t>CLIENTS</t>
  </si>
  <si>
    <t>FOURNISSEURS</t>
  </si>
  <si>
    <t>achats</t>
  </si>
  <si>
    <t>solde passif</t>
  </si>
  <si>
    <t>solde actif</t>
  </si>
  <si>
    <t>SD</t>
  </si>
  <si>
    <t>tva achats</t>
  </si>
  <si>
    <t>ventes</t>
  </si>
  <si>
    <t>xxxxxxxxxxx</t>
  </si>
  <si>
    <t>vi</t>
  </si>
  <si>
    <t>xxxxxxxxxx</t>
  </si>
  <si>
    <t>Jour-finan-Bq</t>
  </si>
  <si>
    <t>Jour finan-Bq</t>
  </si>
  <si>
    <t>xxxxxxxxx</t>
  </si>
  <si>
    <t>TVA Régul.</t>
  </si>
  <si>
    <t>Fournisseur</t>
  </si>
  <si>
    <t>Valeur de départ</t>
  </si>
  <si>
    <t>fact fourn</t>
  </si>
  <si>
    <t>Ext banq fourn</t>
  </si>
  <si>
    <t>ext Bq clients</t>
  </si>
  <si>
    <t>Fact clients</t>
  </si>
  <si>
    <t>jour achats (fourn)</t>
  </si>
  <si>
    <t>Jour-finan-Fourn</t>
  </si>
  <si>
    <t>Mobilier</t>
  </si>
  <si>
    <t>1395,67 est trouvé par :  =rechercheV(E19;'Val-Départ'!E25:H32;2;FAUX)</t>
  </si>
  <si>
    <t>1395,67 sera donc à la 2ème case</t>
  </si>
  <si>
    <t>recherche concidèrera (mobilier)  comme 1er case</t>
  </si>
  <si>
    <r>
      <t>Si je fais</t>
    </r>
    <r>
      <rPr>
        <b/>
        <sz val="11"/>
        <color theme="1"/>
        <rFont val="Times New Roman"/>
        <family val="2"/>
        <scheme val="minor"/>
      </rPr>
      <t xml:space="preserve"> </t>
    </r>
    <r>
      <rPr>
        <b/>
        <u val="singleAccounting"/>
        <sz val="11"/>
        <color theme="1"/>
        <rFont val="Times New Roman"/>
        <family val="2"/>
        <scheme val="minor"/>
      </rPr>
      <t>RECHERCHEV</t>
    </r>
    <r>
      <rPr>
        <sz val="11"/>
        <color theme="1"/>
        <rFont val="Times New Roman"/>
        <family val="2"/>
        <scheme val="minor"/>
      </rPr>
      <t xml:space="preserve"> à partir du mot &lt;&lt;mobilier&gt;&gt; de la  case </t>
    </r>
    <r>
      <rPr>
        <b/>
        <sz val="11"/>
        <color rgb="FFFF0000"/>
        <rFont val="Times New Roman"/>
        <family val="2"/>
        <scheme val="minor"/>
      </rPr>
      <t>E19</t>
    </r>
  </si>
  <si>
    <t>xxxxxxx</t>
  </si>
  <si>
    <t>xxxxxxxx</t>
  </si>
  <si>
    <t>Capital</t>
  </si>
  <si>
    <t>Outillage</t>
  </si>
  <si>
    <t>GRAND Livre compte PASSIF</t>
  </si>
  <si>
    <t>GRAND livre  compte ACTIF</t>
  </si>
  <si>
    <t>nom</t>
  </si>
  <si>
    <t>code</t>
  </si>
  <si>
    <t>Habot</t>
  </si>
  <si>
    <t>Fossoul</t>
  </si>
  <si>
    <t>Bille</t>
  </si>
  <si>
    <t>prest.serv.</t>
  </si>
  <si>
    <t>TVA due autre</t>
  </si>
  <si>
    <t>TVA régular.</t>
  </si>
  <si>
    <t>Piper</t>
  </si>
  <si>
    <t>Export.</t>
  </si>
  <si>
    <t>Belot</t>
  </si>
  <si>
    <t>Coppus</t>
  </si>
  <si>
    <t>Mac donald</t>
  </si>
  <si>
    <t>15</t>
  </si>
  <si>
    <t>16</t>
  </si>
  <si>
    <t>17</t>
  </si>
  <si>
    <t>18</t>
  </si>
  <si>
    <t>19</t>
  </si>
  <si>
    <t>20</t>
  </si>
  <si>
    <t>21</t>
  </si>
  <si>
    <t>23</t>
  </si>
  <si>
    <t>TVA  due</t>
  </si>
  <si>
    <t>entret.voit.</t>
  </si>
  <si>
    <t>TVA%</t>
  </si>
  <si>
    <t>Entret.immo.</t>
  </si>
  <si>
    <t>nc2</t>
  </si>
  <si>
    <t>escompte</t>
  </si>
  <si>
    <t>RRR</t>
  </si>
  <si>
    <t>embalage</t>
  </si>
  <si>
    <t>Intracomm.</t>
  </si>
  <si>
    <t>Emballage</t>
  </si>
  <si>
    <t>TVA Intracom</t>
  </si>
  <si>
    <t>LIVRE DES  VENTES (CLIENTS)</t>
  </si>
  <si>
    <t>autres      ops exportation</t>
  </si>
  <si>
    <t>dues sur total 0´% + 6%+ 12% + 21%</t>
  </si>
  <si>
    <t>déduction sur NC sur ventes</t>
  </si>
  <si>
    <t>marchandises et biens divers</t>
  </si>
  <si>
    <t>Note de crédit ruçues</t>
  </si>
  <si>
    <t>Acquisitions intracommun</t>
  </si>
  <si>
    <t>Autres opérations</t>
  </si>
  <si>
    <t>Privé</t>
  </si>
  <si>
    <t>Importations (HORS CE)</t>
  </si>
  <si>
    <t>(59)4110</t>
  </si>
  <si>
    <t>(59)451020</t>
  </si>
  <si>
    <t>(59)451030</t>
  </si>
  <si>
    <t>(69)4114</t>
  </si>
  <si>
    <t>(63)4514</t>
  </si>
  <si>
    <t>TVA à acquiter par le cocontractant  art 20</t>
  </si>
  <si>
    <t>Factures exenptées  de TVA</t>
  </si>
  <si>
    <t>dues/ops cocontractant</t>
  </si>
  <si>
    <t>dues   NC   reçues</t>
  </si>
  <si>
    <t>MONTANTS DES TVA DUES</t>
  </si>
  <si>
    <t>Services  biens divers</t>
  </si>
  <si>
    <t>investis        sement</t>
  </si>
  <si>
    <t>acquisition. Intracomm</t>
  </si>
  <si>
    <t>Travaux immobiliers</t>
  </si>
  <si>
    <t>comptes de 600 à 608 NdeC</t>
  </si>
  <si>
    <t>intracomm.</t>
  </si>
  <si>
    <t>Opérations (montants hors TVA) pour lesquelles le déclarant est tenu au payement de la TVA</t>
  </si>
  <si>
    <t>due/acquisition  intra-comm</t>
  </si>
  <si>
    <t>TVA/NC</t>
  </si>
  <si>
    <t>NC/fourni.</t>
  </si>
  <si>
    <t>NC/client</t>
  </si>
  <si>
    <t>22</t>
  </si>
  <si>
    <t>Marchandises</t>
  </si>
  <si>
    <t>AVANCE TVA</t>
  </si>
  <si>
    <t>Année</t>
  </si>
  <si>
    <t>montant</t>
  </si>
  <si>
    <t>Avance TVA</t>
  </si>
  <si>
    <t>avance tva</t>
  </si>
  <si>
    <t>Acompte TVA</t>
  </si>
  <si>
    <t>TVA 1er trimestre</t>
  </si>
  <si>
    <t>451030</t>
  </si>
  <si>
    <t>4514</t>
  </si>
  <si>
    <t>4119</t>
  </si>
  <si>
    <t>4110</t>
  </si>
  <si>
    <t>4114</t>
  </si>
  <si>
    <t>4117</t>
  </si>
  <si>
    <t>TVA intracom.</t>
  </si>
  <si>
    <t>Accomptes versées</t>
  </si>
  <si>
    <t>TVA sur NC/client</t>
  </si>
  <si>
    <t>Compte banque</t>
  </si>
  <si>
    <t>TVA entret.immo.</t>
  </si>
  <si>
    <t>TVA due NC/fourn</t>
  </si>
  <si>
    <t>TVA à récup.</t>
  </si>
  <si>
    <t>cocontractant</t>
  </si>
  <si>
    <t>import</t>
  </si>
  <si>
    <t>TVA à récup. Sur N/C ventes  (clients</t>
  </si>
  <si>
    <t>Acompte versée sut TVA</t>
  </si>
  <si>
    <t>Compte courant adm TVA</t>
  </si>
  <si>
    <t>TVA à rembourser</t>
  </si>
  <si>
    <t xml:space="preserve">TVA due  </t>
  </si>
  <si>
    <t>TVA due intracomm. Sur biens</t>
  </si>
  <si>
    <t>TVA due sur N/C achats</t>
  </si>
  <si>
    <t>TVA due intracomm. Sur service</t>
  </si>
  <si>
    <t>TVA due sur importation</t>
  </si>
  <si>
    <t>4519</t>
  </si>
  <si>
    <t>NC</t>
  </si>
  <si>
    <t>marchandises</t>
  </si>
  <si>
    <t>services et biens</t>
  </si>
  <si>
    <t>Pub</t>
  </si>
  <si>
    <t>fournisseurs TVA</t>
  </si>
  <si>
    <t>CLIENTS TVA</t>
  </si>
  <si>
    <t>Transport</t>
  </si>
  <si>
    <t>Escompte</t>
  </si>
  <si>
    <t>Embal/ap/tva</t>
  </si>
  <si>
    <t>Base-impot</t>
  </si>
  <si>
    <t>Base impot</t>
  </si>
  <si>
    <t>somme des -</t>
  </si>
  <si>
    <t>Total</t>
  </si>
  <si>
    <t>somme des +</t>
  </si>
  <si>
    <t>+(81)</t>
  </si>
  <si>
    <t>+(82)</t>
  </si>
  <si>
    <t>+(83)</t>
  </si>
  <si>
    <t>+(59)</t>
  </si>
  <si>
    <t>(85)</t>
  </si>
  <si>
    <t>(87)</t>
  </si>
  <si>
    <t>-(55)</t>
  </si>
  <si>
    <t>-(56)</t>
  </si>
  <si>
    <t>(57)</t>
  </si>
  <si>
    <t>-(63)</t>
  </si>
  <si>
    <t>//// (86)  ////</t>
  </si>
  <si>
    <t>E+</t>
  </si>
  <si>
    <t>E-</t>
  </si>
  <si>
    <t>+(01)</t>
  </si>
  <si>
    <t>+(02)</t>
  </si>
  <si>
    <t>+(03)</t>
  </si>
  <si>
    <t>+(45)</t>
  </si>
  <si>
    <t>+(46)</t>
  </si>
  <si>
    <t>+(47)</t>
  </si>
  <si>
    <t>-(48)</t>
  </si>
  <si>
    <t>-(49)</t>
  </si>
  <si>
    <t>+(54)</t>
  </si>
  <si>
    <t>-(64)</t>
  </si>
  <si>
    <t>S(+)</t>
  </si>
  <si>
    <t>S(-)</t>
  </si>
  <si>
    <t>LIVRE de compte CLIENTS ET FOURNISSEURS</t>
  </si>
  <si>
    <t>LIVRE compte clients</t>
  </si>
  <si>
    <t>LIVRE Compte  fournisseurs</t>
  </si>
  <si>
    <t>Attention pour déterminer le code client exem : C0001</t>
  </si>
  <si>
    <t>la formule doit être sous forme de matrice c-à-d avec {}</t>
  </si>
  <si>
    <t>il faut le signe {} en début et fin, via  touche (crtr+shift+enter)</t>
  </si>
  <si>
    <t>NE PAS FAIRE ENTER après les {} cliquer sur une autre cellule</t>
  </si>
  <si>
    <t>Ext-Banq</t>
  </si>
  <si>
    <t>Client1</t>
  </si>
  <si>
    <t>Client2</t>
  </si>
  <si>
    <t>Fournisseur2</t>
  </si>
  <si>
    <t>Client3</t>
  </si>
  <si>
    <t>Fournisseur3</t>
  </si>
  <si>
    <t>Client4</t>
  </si>
  <si>
    <t>Fournisseur4</t>
  </si>
  <si>
    <t>Motes credits</t>
  </si>
  <si>
    <t>=INDEX('Val-Départ'!B$1:B$19;MIN(SI(NB.SI('Liv. comp.four-client.'!E$11:E11;'Val-Départ'!B$12:B$19)=0;LIGNE($12:$19))))</t>
  </si>
  <si>
    <t>Ref pr index</t>
  </si>
  <si>
    <t>Client5</t>
  </si>
  <si>
    <t>Client6</t>
  </si>
  <si>
    <t>Client7</t>
  </si>
  <si>
    <t>Client8</t>
  </si>
  <si>
    <t>Client9</t>
  </si>
  <si>
    <t>Client10</t>
  </si>
  <si>
    <t>Client11</t>
  </si>
  <si>
    <t>Matériel-roul</t>
  </si>
  <si>
    <t>achats HTVA</t>
  </si>
  <si>
    <t>Nouvelle</t>
  </si>
  <si>
    <t>TVA/réd</t>
  </si>
  <si>
    <t>Entret./M.R.</t>
  </si>
  <si>
    <t>Tjrs vérifier les accollades en début de INDEX !!!!</t>
  </si>
  <si>
    <t>C'est ce qui regroupe les mêmes n° clients ou fournisseurs</t>
  </si>
  <si>
    <t>Tot TVAC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</si>
  <si>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</si>
  <si>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</si>
  <si>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</si>
  <si>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</si>
  <si>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</si>
  <si>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</si>
  <si>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</si>
  <si>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</si>
  <si>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</si>
  <si>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nc</t>
  </si>
  <si>
    <t>TVA marchand</t>
  </si>
  <si>
    <t>tva non marchan</t>
  </si>
  <si>
    <t>tva non marchand</t>
  </si>
  <si>
    <t>non marchand</t>
  </si>
  <si>
    <t>marchand</t>
  </si>
  <si>
    <t>non marchandise</t>
  </si>
  <si>
    <t>ok</t>
  </si>
  <si>
    <t>non marchan</t>
  </si>
  <si>
    <t>RECHERCHEV('Val-Départ'!F13;'Val-Départ'!F13:V13;14;FAUX )</t>
  </si>
  <si>
    <t>TOTAL TVA</t>
  </si>
  <si>
    <t>récup</t>
  </si>
  <si>
    <t xml:space="preserve">NC TVA </t>
  </si>
  <si>
    <t>TVA ACHATS</t>
  </si>
  <si>
    <t>NC/Fournis</t>
  </si>
  <si>
    <t>TVA clients</t>
  </si>
  <si>
    <t>NC/clients</t>
  </si>
  <si>
    <t>NC/tva</t>
  </si>
  <si>
    <t>LIV sortie</t>
  </si>
  <si>
    <t>OK</t>
  </si>
  <si>
    <t>4ème vérification : total fourni (G22 ) = Gr liv ACT-PAS (M69)</t>
  </si>
  <si>
    <t>Solde Créditeur</t>
  </si>
  <si>
    <t>Solde Débiteur</t>
  </si>
  <si>
    <t>Total Crédit</t>
  </si>
  <si>
    <t>Total Débit</t>
  </si>
  <si>
    <t>Nom</t>
  </si>
  <si>
    <t>Balance Fourniseur</t>
  </si>
  <si>
    <t>4ème vérification : total client (F10) = Grliv ACT-PAS (B69)</t>
  </si>
  <si>
    <t>Numéro client</t>
  </si>
  <si>
    <t>Balance Client</t>
  </si>
  <si>
    <t xml:space="preserve">   </t>
  </si>
  <si>
    <t>699 - Produits - Report en arrière des déficits</t>
  </si>
  <si>
    <t>6989 - Intégration fiscale - Produits</t>
  </si>
  <si>
    <t>6981 - Intégration fiscale - Charges</t>
  </si>
  <si>
    <t>698 - Intégration fiscale</t>
  </si>
  <si>
    <t>696 - Suppléments d’impôt sur les sociétés liés aux distributions</t>
  </si>
  <si>
    <t>6954 - Impôts dus à l’étranger</t>
  </si>
  <si>
    <t>6952 - Contribution additionnelle à l’impôt sur les bénéfices</t>
  </si>
  <si>
    <t>6951 - Impôts dus en France</t>
  </si>
  <si>
    <t>695 - Impôts sur les bénéfices</t>
  </si>
  <si>
    <t>691 - Participation des salariés aux résultats</t>
  </si>
  <si>
    <t>69 - PARTICIPATION DES SALARIES - IMPÔTS SUR LES BENEFICES ET ASSIMILES</t>
  </si>
  <si>
    <t>6876 - Dotations aux dépréciations exceptionnelles (Règlement n°2002-10 du CRC)</t>
  </si>
  <si>
    <t>6875 - Dotations aux provisions exceptionnelles (Règlement n°2005-09 du CRC)</t>
  </si>
  <si>
    <t>6874 - Dotations aux autres provisions réglementées</t>
  </si>
  <si>
    <t>6873 - Dotations aux provisions réglementées (stocks)</t>
  </si>
  <si>
    <t>68725 - Amortissements dérogatoires</t>
  </si>
  <si>
    <t>6872 - Dotations aux provisions réglementées (immobilisations)</t>
  </si>
  <si>
    <t>6871 - Dotations aux amortissements exceptionnels des immobilisations</t>
  </si>
  <si>
    <t>687 - Dotations aux amortissements dépréciations et provisions - Charges exceptionnelles – (Règlement n°2005-09 du CRC)</t>
  </si>
  <si>
    <t>6868 - Autres dotations</t>
  </si>
  <si>
    <t>68665 - Valeurs mobilières de placement</t>
  </si>
  <si>
    <t>68662 - Immobilisations financières</t>
  </si>
  <si>
    <t>6866 - Dotations aux dépréciations des éléments financiers (Règlement n°2005-09 du CRC)</t>
  </si>
  <si>
    <t>6865 - Dotations aux provisions financières – (Règlement n°2005-09 du CRC)</t>
  </si>
  <si>
    <t>6861 - Dotations aux amortissements des primes de remboursement des obligations</t>
  </si>
  <si>
    <t>686 - Dotations aux amortissements, dépréciations et provisions - Charges financières – (Règlement n°2005-09 du CRC)</t>
  </si>
  <si>
    <t>68174 - Créances</t>
  </si>
  <si>
    <t>68173 - Stocks et en-cours</t>
  </si>
  <si>
    <t>6817 - Dotations aux dépréciations des actifs circulants (Règlement n°2005-09 du CRC)</t>
  </si>
  <si>
    <t>68162 - Immobilisations corporelles</t>
  </si>
  <si>
    <t>68161 - Immobilisations incorporelles</t>
  </si>
  <si>
    <t>6816 - Dotations aux dépréciations des immobilisations incorporelles et corporelles (Règlement n°2002-10 du CRC)</t>
  </si>
  <si>
    <t>6815 - Dotations aux provisions d’exploitation (Règlement n°2005-09 du CRC)</t>
  </si>
  <si>
    <t>6812 - Dotations aux amortissements des charges d’exploitation à répartir</t>
  </si>
  <si>
    <t>68112 - Immobilisations corporelles</t>
  </si>
  <si>
    <t>68111 - Immobilisations incorporelles</t>
  </si>
  <si>
    <t>6811 - Dotations aux amortissements sur immobilisations incorporelles et corporelles</t>
  </si>
  <si>
    <t>681 - Dotations aux amortissements, dépréciations et provisions - Charges d’exploitation – (Règlement n°2005-09 du CRC)</t>
  </si>
  <si>
    <t>68 - DOTATIONS AUX AMORTISSEMENTS, DÉPRECIATIONS ET PROVISIONS (Règlement n°2005-09 du CRC)</t>
  </si>
  <si>
    <t>6788 - Charges exceptionnelles diverses</t>
  </si>
  <si>
    <t>6783 - Malis provenant du rachat par l’entreprise d’actions et obligations émises par elle-même</t>
  </si>
  <si>
    <t>6782 - Lots</t>
  </si>
  <si>
    <t>6781 - Malis provenant de clauses d’indexation</t>
  </si>
  <si>
    <t>678 - Autres charges exceptionnelles</t>
  </si>
  <si>
    <t>6758 - Autres éléments d’actif</t>
  </si>
  <si>
    <t>6756 - Immobilisations financières</t>
  </si>
  <si>
    <t>6752 - Immobilisations corporelles</t>
  </si>
  <si>
    <t>6751 - Immobilisations incorporelles</t>
  </si>
  <si>
    <t>675 - Valeurs comptables des éléments d’actif cédés</t>
  </si>
  <si>
    <t>6742 - Opérations liées à la liquidation de la fiducie</t>
  </si>
  <si>
    <t>6741 - Opérations liées à la constitution de la fiducie - transfert des éléments</t>
  </si>
  <si>
    <t>674 - Opérations de constitution ou liquidation des fiducies</t>
  </si>
  <si>
    <t>672 - (Compte à la disposition des entités pour enregistrer, en cours d’exercice, les charges sur exercices antérieurs)</t>
  </si>
  <si>
    <t>6718 - Autres charges exceptionnelles sur opérations de gestion</t>
  </si>
  <si>
    <t>6717 - Rappel d’impôts (autres qu’impôts sur les bénéfices)</t>
  </si>
  <si>
    <t>6715 - Subventions accordées</t>
  </si>
  <si>
    <t>6714 - Créances devenues irrécouvrables dans l’exercice</t>
  </si>
  <si>
    <t>6713 - Dons, libéralités</t>
  </si>
  <si>
    <t>6712 - Pénalités, amendes fiscales et pénales</t>
  </si>
  <si>
    <t>6711 - Pénalités sur marchés (et dédits payés sur achats et ventes)</t>
  </si>
  <si>
    <t>671 - Charges exceptionnelles sur opérations de gestion</t>
  </si>
  <si>
    <t>67 - CHARGES EXCEPTIONNELLES</t>
  </si>
  <si>
    <t>668 - Autres charges financières</t>
  </si>
  <si>
    <t>667 - Charges nettes sur cessions de valeurs mobilières de placement</t>
  </si>
  <si>
    <t>666 - Pertes de change</t>
  </si>
  <si>
    <t>665 - Escomptes accordés</t>
  </si>
  <si>
    <t>664 - Pertes sur créances liées à des participations</t>
  </si>
  <si>
    <t>66188 - des dettes diverses</t>
  </si>
  <si>
    <t>66181 - des dettes commerciales</t>
  </si>
  <si>
    <t>6618 - Intérêts des autres dettes</t>
  </si>
  <si>
    <t>6617 - Intérêts des obligations cautionnées</t>
  </si>
  <si>
    <t>6616 - Intérêts bancaires et sur opérations de financement (escompte,...)</t>
  </si>
  <si>
    <t>6615 - Intérêts des comptes courants et des dépôts créditeurs</t>
  </si>
  <si>
    <t>6612 - Charges de la fiducie, résultat de la période</t>
  </si>
  <si>
    <t>66117 - des dettes rattachées à des participations</t>
  </si>
  <si>
    <t>66116 - des emprunts et dettes assimilées</t>
  </si>
  <si>
    <t>6611 - Intérêts des emprunts et dettes</t>
  </si>
  <si>
    <t>661 - Charges d’intérêts</t>
  </si>
  <si>
    <t>66 - CHARGES FINANCIERES</t>
  </si>
  <si>
    <t>658 - Charges diverses de gestion courante</t>
  </si>
  <si>
    <t>6555 - Quote-part de perte supportée (comptabilité des associés non gérants)</t>
  </si>
  <si>
    <t>6551 - Quote-part de bénéfice transférée (comptabilité du gérant)</t>
  </si>
  <si>
    <t>655 - Quotes-parts de résultat sur opérations faites en commun</t>
  </si>
  <si>
    <t>6544 - Créances des exercices antérieurs</t>
  </si>
  <si>
    <t>6541 - Créances de l’exercice</t>
  </si>
  <si>
    <t>654 - Pertes sur créances irrécouvrables</t>
  </si>
  <si>
    <t>653 - Jetons de présence</t>
  </si>
  <si>
    <t>6518 - Autres droits et valeurs similaires</t>
  </si>
  <si>
    <t>6516 - Droits d’auteur et de reproduction</t>
  </si>
  <si>
    <t>6511 - Redevances pour concessions, brevets, licences, marques, procédés, logiciels</t>
  </si>
  <si>
    <t>651 - Redevances pour concessions, brevets, licences, marques, procédés, logiciels, droits et valeurs similaires</t>
  </si>
  <si>
    <t>65 - AUTRES CHARGES DE GESTION COURANTE</t>
  </si>
  <si>
    <t>648 - Autres charges de personnel</t>
  </si>
  <si>
    <t>6475 - Médecine du travail, pharmacie</t>
  </si>
  <si>
    <t>6474 - Versements aux autres oeuvres sociales</t>
  </si>
  <si>
    <t>6473 – Versements aux comités d’hygiène et de sécurité</t>
  </si>
  <si>
    <t>6472 - Versements aux comités d’entreprise et d’établissement</t>
  </si>
  <si>
    <t>6471 - Prestations directes</t>
  </si>
  <si>
    <t>647 - Autres charges sociales</t>
  </si>
  <si>
    <t>646 - Cotisations sociales personnelles de l’exploitant</t>
  </si>
  <si>
    <t>6458 - Cotisations aux autres organismes sociaux</t>
  </si>
  <si>
    <t>6454 - Cotisations aux ASSEDIC</t>
  </si>
  <si>
    <t>2976 - Autres créances immobilisées (même ventilation que celle du compte 276)</t>
  </si>
  <si>
    <t>6453 - Cotisations aux caisses de retraites</t>
  </si>
  <si>
    <t>2975 - Dépôts et cautionnements versés (même ventilation que celle du compte 275)</t>
  </si>
  <si>
    <t>6452 - Cotisations aux mutuelles</t>
  </si>
  <si>
    <t>2974 - Prêts (même ventilation que celle du compte 274)</t>
  </si>
  <si>
    <t>6451 - Cotisations à l’URSSAF</t>
  </si>
  <si>
    <t>2973 - Titres immobilisés de l’activité de portefeuille</t>
  </si>
  <si>
    <t>645 - Charges de sécurité sociale et de prévoyance</t>
  </si>
  <si>
    <t>4967 - Autres comptes débiteurs</t>
  </si>
  <si>
    <t>2972 - Titres immobilisés, droit de créance (même ventilation que celle du compte 272)</t>
  </si>
  <si>
    <t>644 - Rémunération du travail de l’exploitant</t>
  </si>
  <si>
    <t>4965 - Créances sur cessions de valeurs mobilières de placement</t>
  </si>
  <si>
    <t>2971 - Titres immobilisés autres que les titres immobilisés de l’activité de portefeuille, droit de propriété (même ventilation que celle du compte 271)</t>
  </si>
  <si>
    <t>6415 - Supplément familial</t>
  </si>
  <si>
    <t>4962 - Créances sur cessions d’immobilisations</t>
  </si>
  <si>
    <t>297 - Dépréciations des autres immobilisations financières (Règlement n°2005-09 du CRC)</t>
  </si>
  <si>
    <t>6414 - Indemnités et avantages divers</t>
  </si>
  <si>
    <t>496 - Dépréciations des comptes de débiteurs divers (Règlement n°2005-09 du CRC)</t>
  </si>
  <si>
    <t>2968 - Créances rattachées à des sociétés en participation (même ventilation que celle du compte 268)</t>
  </si>
  <si>
    <t>6413 - Primes et gratifications</t>
  </si>
  <si>
    <t>4958 - Opérations faites en commun et en G.I.E.</t>
  </si>
  <si>
    <t>2967 - Créances rattachées à des participations (même ventilation que celle du compte 267)</t>
  </si>
  <si>
    <t>6412 - Congés payés</t>
  </si>
  <si>
    <t>4955 - Comptes courants des associés</t>
  </si>
  <si>
    <t>2966 - Autres formes de participation</t>
  </si>
  <si>
    <t>6411 - Salaires, appointements</t>
  </si>
  <si>
    <t>4951 - Comptes du groupe</t>
  </si>
  <si>
    <t>2961 - Titres de participation</t>
  </si>
  <si>
    <t>641 - Rémunérations du personnel</t>
  </si>
  <si>
    <t>495 - Dépréciations des comptes du groupe et des associés (Règlement n°2005-09 du CRC)</t>
  </si>
  <si>
    <t>296 - Dépréciations des participations et créances rattachées à des participations – (Règlement n°2005-09 du CRC)</t>
  </si>
  <si>
    <t>64 - CHARGES DE PERSONNEL</t>
  </si>
  <si>
    <t>491 - Dépréciations des comptes de clients – (Règlement n°2005-09 du CRC)</t>
  </si>
  <si>
    <t>2932 - Immobilisations incorporelles en cours</t>
  </si>
  <si>
    <t>6378 - Taxes diverses</t>
  </si>
  <si>
    <t>49 - DEPRECIATIONS DES COMPTES DE TIERS – (Règlement n°2005-09 du CRC)</t>
  </si>
  <si>
    <t>2931 - Immobilisations corporelles en cours</t>
  </si>
  <si>
    <t>6374 - Impôts et taxes exigibles à l’Étranger</t>
  </si>
  <si>
    <t>4887 - Produits</t>
  </si>
  <si>
    <t>293 - dépréciations des immobilisations en cours – (Règlement n°2002-10 du CRC)</t>
  </si>
  <si>
    <t>6372 - Taxes perçues par les organismes publics internationaux</t>
  </si>
  <si>
    <t>4886 - Charges</t>
  </si>
  <si>
    <t>292 - dépréciations des immobilisations mises en concession</t>
  </si>
  <si>
    <t>6371 - Contribution sociale de solidarité à la charge des sociétés</t>
  </si>
  <si>
    <t>488 - Comptes de répartition périodique des charges et des produits</t>
  </si>
  <si>
    <t>2911 – Terrains (autres que terrains de gisement)</t>
  </si>
  <si>
    <t>637 - Autres impôts, taxes et versements assimilés (autres organismes)</t>
  </si>
  <si>
    <t>487 - Produits constatés d’avance</t>
  </si>
  <si>
    <t>291 - dépréciations des immobilisations corporelles (même ventilation que celle du compte 21) – (Règlement n°2002-10 du CRC)</t>
  </si>
  <si>
    <t>6358 - Autres droits</t>
  </si>
  <si>
    <t>486 - Charges constatées d’avance</t>
  </si>
  <si>
    <t>2908 - Autres immobilisations incorporelles</t>
  </si>
  <si>
    <t>63541 - Droits de mutation</t>
  </si>
  <si>
    <t>4816 - Frais d’émission des emprunts</t>
  </si>
  <si>
    <t>2907 - Fonds commercial</t>
  </si>
  <si>
    <t>6354 - Droits d’enregistrement et de timbre</t>
  </si>
  <si>
    <t>481 - Charges à répartir sur plusieurs exercices – (Règlement n°2004-06 du CRC)</t>
  </si>
  <si>
    <t>2906 - Droit au bail</t>
  </si>
  <si>
    <t>6353 - Impôts indirects</t>
  </si>
  <si>
    <t>48 - COMPTES DE REGULARISATION</t>
  </si>
  <si>
    <t>2905 - Marques, procédés, droits et valeurs similaires</t>
  </si>
  <si>
    <t>6352 - Taxes sur le chiffre d’affaires non récupérables</t>
  </si>
  <si>
    <t>478 - Autres comptes transitoires</t>
  </si>
  <si>
    <t>290 - Dépréciations des immobilisations incorporelles</t>
  </si>
  <si>
    <t>63514 - Taxe sur les véhicules des sociétés</t>
  </si>
  <si>
    <t>4778 - Différences compensées par couverture de change</t>
  </si>
  <si>
    <t>29 - DÉPRÉCIATIONS DES IMMOBILISATIONS – (RÈGLEMENT N°2002-10 DU CRC)</t>
  </si>
  <si>
    <t>63513 - Autres impôts locaux</t>
  </si>
  <si>
    <t>4772 - Diminution des dettes</t>
  </si>
  <si>
    <t>282 – Amortissements des immobilisations mises en concession</t>
  </si>
  <si>
    <t>63512 - Taxes foncières</t>
  </si>
  <si>
    <t>4771 - Augmentation des créances</t>
  </si>
  <si>
    <t>2818 - Autres immobilisations corporelles (même ventilation que celle du compte 218)</t>
  </si>
  <si>
    <t>188 - Comptes de liaison des sociétés en participation</t>
  </si>
  <si>
    <t>63511 - Contribution économique territoriale</t>
  </si>
  <si>
    <t>477 - Différences de conversion - PASSIF</t>
  </si>
  <si>
    <t>2815 – Installations techniques, matériel et outillage industriels (même ventilation que celle du compte 215)</t>
  </si>
  <si>
    <t>187 - Biens et prestations de services échangés entre établissements (produits)</t>
  </si>
  <si>
    <t>797 - Transferts de charges exceptionnelles</t>
  </si>
  <si>
    <t>6351 - Impôts directs (sauf impôts sur les bénéfices)</t>
  </si>
  <si>
    <t>4768 - Différences compensées par couverture de change</t>
  </si>
  <si>
    <t>2814 - Constructions sur sol d’autrui (même ventilation que celle du compte 214)</t>
  </si>
  <si>
    <t>186 - Biens et prestations de services échangés entre établissements (charges)</t>
  </si>
  <si>
    <t>796 - Transferts de charges financières</t>
  </si>
  <si>
    <t>635 - Autres impôts, taxes et versements assimilés (administrations des impôts)</t>
  </si>
  <si>
    <t>4762 - Augmentation des dettes</t>
  </si>
  <si>
    <t>2813 - Constructions (même ventilation que celle du compte 213)</t>
  </si>
  <si>
    <t>181 - Comptes de liaison des établissements</t>
  </si>
  <si>
    <t>791 - Transferts de charges d’exploitation</t>
  </si>
  <si>
    <t>6338 - Autres</t>
  </si>
  <si>
    <t>4761 - Diminution des créances</t>
  </si>
  <si>
    <t>2812 - Agencements, aménagements de terrains (même ventilation que celle du compte 212)</t>
  </si>
  <si>
    <t>18 - COMPTES DE LIAISON DES ETABLISSEMENTS ET SOCIETES EN PARTICIPATION</t>
  </si>
  <si>
    <t>79 - TRANSFERTS DE CHARGES</t>
  </si>
  <si>
    <t>6335 - Versements libératoires ouvrant droit à l’exonération de la taxe d’apprentissage</t>
  </si>
  <si>
    <t>476 - Différence de conversion - ACTIF</t>
  </si>
  <si>
    <t>2811 - Terrains de gisement</t>
  </si>
  <si>
    <t>1788 - Intérêts courus</t>
  </si>
  <si>
    <t>7876 - Reprises sur dépréciations exceptionnelles (Règlement n°2002-10 du CRC)</t>
  </si>
  <si>
    <t>6334 - Participation des employeurs à l’effort de construction</t>
  </si>
  <si>
    <t>471 à 475 - Comptes d’attente</t>
  </si>
  <si>
    <t>281 - Amortissements des immobilisations corporelles</t>
  </si>
  <si>
    <t>1781 - Principal</t>
  </si>
  <si>
    <t>7875 - Reprises sur provisions exceptionnelles – (Règlement n°2005-09 du CRC)</t>
  </si>
  <si>
    <t>6333 - Participation des employeurs à la formation professionnelle continue</t>
  </si>
  <si>
    <t>47 - COMPTES TRANSITOIRES OU D’ATTENTE</t>
  </si>
  <si>
    <t>2808 - Autres immobilisations incorporelles</t>
  </si>
  <si>
    <t>178 - Dettes rattachées à des sociétés en participation</t>
  </si>
  <si>
    <t>7874 - Reprises sur autres provisions réglementées</t>
  </si>
  <si>
    <t>6332 - Allocations logement</t>
  </si>
  <si>
    <t>4687 - Produits à recevoir</t>
  </si>
  <si>
    <t>2807 - Fonds commercial</t>
  </si>
  <si>
    <t>174 - Dettes rattachées à des participations (hors groupe)</t>
  </si>
  <si>
    <t>7873 - Reprises sur provisions réglementées (stocks)</t>
  </si>
  <si>
    <t>6331 - Versement de transport</t>
  </si>
  <si>
    <t>4686 - Charges à payer</t>
  </si>
  <si>
    <t>2805 - Concessions et droits similaires, brevets, licences, logiciels, droits et valeurs similaires</t>
  </si>
  <si>
    <t>171 - Dettes rattachées à des participations (groupe)</t>
  </si>
  <si>
    <t>78727 - Plus-values réinvesties</t>
  </si>
  <si>
    <t>633 - Impôts, taxes et versements assimilés sur rémunérations (autres organismes)</t>
  </si>
  <si>
    <t>468 - Divers - Charges à payer et produits à recevoir</t>
  </si>
  <si>
    <t>2803 - Frais de recherche et de développement</t>
  </si>
  <si>
    <t>17 - DETTES RATTACHEES A DES PARTICIPATIONS</t>
  </si>
  <si>
    <t>78726 - Provision spéciale de réévaluation</t>
  </si>
  <si>
    <t>6318 - Autres</t>
  </si>
  <si>
    <t>467 - Autres comptes débiteurs ou créditeurs</t>
  </si>
  <si>
    <t>2801 - Frais d’établissement (même ventilation que celle du compte 201)</t>
  </si>
  <si>
    <t>169 - Primes de remboursement des obligations</t>
  </si>
  <si>
    <t>78725 - Amortissements dérogatoires</t>
  </si>
  <si>
    <t>6314 - Cotisation pour défaut d’investissement obligatoire dans la construction</t>
  </si>
  <si>
    <t>465 - Créances sur cessions de valeurs mobilières de placement</t>
  </si>
  <si>
    <t>280 - Amortissements des immobilisations incorporelles</t>
  </si>
  <si>
    <t>16888 - Sur autres emprunts et dettes assimilées</t>
  </si>
  <si>
    <t>7872 - Reprises sur provisions réglementées (immobilisations)</t>
  </si>
  <si>
    <t>6313 - Participation des employeurs à la formation professionnelle continue</t>
  </si>
  <si>
    <t>464 - Dettes sur acquisitions de valeurs mobilières de placement</t>
  </si>
  <si>
    <t>28 - AMORTISSEMENTS DES IMMOBILISATIONS</t>
  </si>
  <si>
    <t>16887 - Sur emprunts et dettes assortis de conditions particulières</t>
  </si>
  <si>
    <t>787 - Reprises sur dépréciations et provisions (à inscrire dans les produits exceptionnels) – (Règlement n°2005-09 du CRC)</t>
  </si>
  <si>
    <t>6312 - Taxe d’apprentissage</t>
  </si>
  <si>
    <t>462 - Créances sur cessions d’immobilisations</t>
  </si>
  <si>
    <t>279 - Versements restant à effectuer sur titres immobilisés non libérés</t>
  </si>
  <si>
    <t>16886 - Sur participation des salariés aux résultats</t>
  </si>
  <si>
    <t>78665 - Valeurs mobilières de placement</t>
  </si>
  <si>
    <t>6311 - Taxe sur les salaires</t>
  </si>
  <si>
    <t>46 - DÉBITEURS DIVERS ET CRÉDITEURS DIVERS</t>
  </si>
  <si>
    <t>2772 - Actions propres ou parts propres en voie d’annulation</t>
  </si>
  <si>
    <t>16885 - Sur dépôts et cautionnements reçus</t>
  </si>
  <si>
    <t>78662 - Immobilisations financières</t>
  </si>
  <si>
    <t>631 - Impôts, taxes et versements assimilés sur rémunérations (administrations des impôts)</t>
  </si>
  <si>
    <t>4588 - Intérêts courus</t>
  </si>
  <si>
    <t>2771 - Actions propres ou parts propres</t>
  </si>
  <si>
    <t>16884 - Sur emprunts auprès des établissements de crédit</t>
  </si>
  <si>
    <t>7866 - Reprises sur dépréciations des éléments financiers (Règlement n°2005-09 du CRC)</t>
  </si>
  <si>
    <t>63 - IMPOTS, TAXES ET VERSEMENTS ASSIMILES</t>
  </si>
  <si>
    <t>4581 - Opérations courantes</t>
  </si>
  <si>
    <t>277 - Actions propres ou parts propres</t>
  </si>
  <si>
    <t>16883 - Sur autres emprunts obligataires</t>
  </si>
  <si>
    <t>7865 - Reprises sur provisions financières – (Règlement n°2005-09 du CRC)</t>
  </si>
  <si>
    <t>629 - Rabais, remises et ristournes obtenus sur autres services extérieurs</t>
  </si>
  <si>
    <t>458 - Associés - Opérations faites en commun et en G.I.E.</t>
  </si>
  <si>
    <t>27688 - Sur créances diverses</t>
  </si>
  <si>
    <t>16881 - Sur emprunts obligataires convertibles</t>
  </si>
  <si>
    <t>786 - Reprises sur dépréciations et provisions (à inscrire dans les produits financiers) – (Règlement n°2005-09 du CRC)</t>
  </si>
  <si>
    <t>6284 - Frais de recrutement de personnel</t>
  </si>
  <si>
    <t>457 - Associés - Dividendes à payer</t>
  </si>
  <si>
    <t>27685 - Sur dépôts et cautionnements</t>
  </si>
  <si>
    <t>1688 - Intérêts courus</t>
  </si>
  <si>
    <t>78174 - Créances</t>
  </si>
  <si>
    <t>6281 - Concours divers (cotisations, ...)</t>
  </si>
  <si>
    <t>4567 - Associés - Capital à rembourser</t>
  </si>
  <si>
    <t>27684 - Sur prêts</t>
  </si>
  <si>
    <t>1687 - Autres dettes</t>
  </si>
  <si>
    <t>78173 - Stocks et en-cours</t>
  </si>
  <si>
    <t>628 - Divers</t>
  </si>
  <si>
    <t>4566 - Actionnaires défaillants</t>
  </si>
  <si>
    <t>27682 - Sur titres immobilisés (droit de créance)</t>
  </si>
  <si>
    <t>1685 - Rentes viagères capitalisées</t>
  </si>
  <si>
    <t>7817 - Reprises sur dépréciations des actifs circulants (Règlement n°2005-09 du CRC)</t>
  </si>
  <si>
    <t>6278 - Autres frais et commissions sur prestations de services</t>
  </si>
  <si>
    <t>4564 - Associés - Versements anticipés</t>
  </si>
  <si>
    <t>2768 - Intérêts courus</t>
  </si>
  <si>
    <t>1681 - Autres emprunts</t>
  </si>
  <si>
    <t>78162 - Immobilisations corporelles</t>
  </si>
  <si>
    <t>6276 - Location de coffres</t>
  </si>
  <si>
    <t>4563 - Associés - Versements reçus sur augmentation de capital</t>
  </si>
  <si>
    <t>2761 - Créances diverses</t>
  </si>
  <si>
    <t>168 - Autres emprunts et dettes assimilées</t>
  </si>
  <si>
    <t>78161 - Immobilisations incorporelles</t>
  </si>
  <si>
    <t>6275 - Frais sur effets</t>
  </si>
  <si>
    <t>45625 - Associés - Capital appelé, non versé</t>
  </si>
  <si>
    <t>276 - Autres créances immobilisées</t>
  </si>
  <si>
    <t>1675 - Emprunts participatifs</t>
  </si>
  <si>
    <t>7816 - Reprises sur dépréciations des immobilisations corporelles et incorporelles – (Règlement n°2002-10 du CRC)</t>
  </si>
  <si>
    <t>6272 - Commissions et frais sur émission d’emprunts</t>
  </si>
  <si>
    <t>45621 - Actionnaires - Capital souscrit et appelé, non versé</t>
  </si>
  <si>
    <t>2755 - Cautionnements</t>
  </si>
  <si>
    <t>1674 - Avances conditionnées de l’État</t>
  </si>
  <si>
    <t>7815 - Reprises sur provisions d’exploitation (Règlement n°2005-09 du CRC)</t>
  </si>
  <si>
    <t>6271 - Frais sur titres (achat, vente, garde)</t>
  </si>
  <si>
    <t>4562 - Apporteurs - Capital appelé, non versé</t>
  </si>
  <si>
    <t>2751 - Dépôts</t>
  </si>
  <si>
    <t>1671 - Émissions de titres participatifs</t>
  </si>
  <si>
    <t>78112 - Immobilisations corporelles</t>
  </si>
  <si>
    <t>627 - Services bancaires et assimilés</t>
  </si>
  <si>
    <t>45615 - Apports en numéraire</t>
  </si>
  <si>
    <t>275 - Dépôts et cautionnements versés</t>
  </si>
  <si>
    <t>167 - Emprunts et dettes assortis de conditions particulières</t>
  </si>
  <si>
    <t>78111 - Immobilisations incorporelles</t>
  </si>
  <si>
    <t>626 - Frais postaux et de télécommunications</t>
  </si>
  <si>
    <t>45611 - Apports en nature</t>
  </si>
  <si>
    <t>2748 - Autres prêts</t>
  </si>
  <si>
    <t>1662 - Fonds de participation</t>
  </si>
  <si>
    <t>7811 - Reprises sur amortissements des immobilisations incorporelles et corporelles</t>
  </si>
  <si>
    <t>6257 - Réceptions</t>
  </si>
  <si>
    <t>4561 - Associés - Comptes d’apport en société</t>
  </si>
  <si>
    <t>2743 - Prêts au personnel</t>
  </si>
  <si>
    <t>1661 - Comptes bloqués</t>
  </si>
  <si>
    <t>781 - Reprises sur amortissements, dépréciations et provisions (à inscrire dans les produits d’exploitation) – (Règlement n°2005-09 du CRC)</t>
  </si>
  <si>
    <t>6256 - Missions</t>
  </si>
  <si>
    <t>456 - Associés - Opérations sur le capital</t>
  </si>
  <si>
    <t>2742 - Prêts aux associés</t>
  </si>
  <si>
    <t>166 - Participation des salariés aux résultats</t>
  </si>
  <si>
    <t>78 - REPRISES SUR AMORTISSEMENTS, DÉPRECIATIONS ET PROVISIONS (Règlement n°2005-09 du CRC)</t>
  </si>
  <si>
    <t>6255 - Frais de déménagement</t>
  </si>
  <si>
    <t>4558 - Intérêts courus</t>
  </si>
  <si>
    <t>2741 - Prêts participatifs</t>
  </si>
  <si>
    <t>1655 - Cautionnements</t>
  </si>
  <si>
    <t>7788 - Produits exceptionnels divers</t>
  </si>
  <si>
    <t>6251 - Voyages et déplacements</t>
  </si>
  <si>
    <t>4551 - Principal</t>
  </si>
  <si>
    <t>274 - Prêts</t>
  </si>
  <si>
    <t>1651 - Dépôts</t>
  </si>
  <si>
    <t>7783 - Bonis provenant du rachat par l’entreprise d’actions et d’obligations émises par elle-même</t>
  </si>
  <si>
    <t>625 - Déplacements, missions et réceptions</t>
  </si>
  <si>
    <t>455 - Associés - Comptes courants</t>
  </si>
  <si>
    <t>273 - Titres immobilisés de l’activité de portefeuille</t>
  </si>
  <si>
    <t>165 - Dépôts et cautionnements reçus</t>
  </si>
  <si>
    <t>7782 - Lots</t>
  </si>
  <si>
    <t>6248 - Divers</t>
  </si>
  <si>
    <t>451 - Groupe</t>
  </si>
  <si>
    <t>2722 - Bons</t>
  </si>
  <si>
    <t>164 - Emprunts auprès des établissements de crédit</t>
  </si>
  <si>
    <t>7781 - Bonis provenant de clauses d’indexation</t>
  </si>
  <si>
    <t>6247 - Transports collectifs du personnel</t>
  </si>
  <si>
    <t>45 - GROUPE ET ASSOCIES</t>
  </si>
  <si>
    <t>2721 - Obligations</t>
  </si>
  <si>
    <t>163 - Autres emprunts obligataires</t>
  </si>
  <si>
    <t>778 - Autres produits exceptionnels</t>
  </si>
  <si>
    <t>6244 - Transports administratifs</t>
  </si>
  <si>
    <t>449 – Quotas d’émission à acquérir</t>
  </si>
  <si>
    <t>272 - Titres immobilisés (droit de créance)</t>
  </si>
  <si>
    <t>162 - Obligations représentatives de passifs nets remis en fiducie</t>
  </si>
  <si>
    <t>777 - Quote-part des subventions d’investissement virée au résultat de l’exercice</t>
  </si>
  <si>
    <t>6243 - Transports entre établissements ou chantiers</t>
  </si>
  <si>
    <t>4487 - Produits à recevoir</t>
  </si>
  <si>
    <t>2718 - Autres titres</t>
  </si>
  <si>
    <t>161 - Emprunts obligataires convertibles</t>
  </si>
  <si>
    <t>7758 - Autres éléments d’actif</t>
  </si>
  <si>
    <t>6242 - Transports sur ventes</t>
  </si>
  <si>
    <t>4486 - Charges à payer</t>
  </si>
  <si>
    <t>2711 - Actions</t>
  </si>
  <si>
    <t>16 - EMPRUNTS ET DETTES ASSIMILEES</t>
  </si>
  <si>
    <t>7756 - Immobilisations financières</t>
  </si>
  <si>
    <t>6241 - Transports sur achats</t>
  </si>
  <si>
    <t>4482 - Charges fiscales sur congés à payer</t>
  </si>
  <si>
    <t>271 - Titres immobilisés autres que les titres immobilisés de l’activité de portefeuille (droit de propriété)</t>
  </si>
  <si>
    <t>1581 – Provisions pour remises en état (Règlement n°2000-06 du CRC)</t>
  </si>
  <si>
    <t>7752 - Immobilisations corporelles</t>
  </si>
  <si>
    <t>624 - Transports de biens et transports collectifs du personnel</t>
  </si>
  <si>
    <t>448 - État - Charges à payer et produits à recevoir</t>
  </si>
  <si>
    <t>27 - AUTRES IMMOBILISATIONS FINANCIERES</t>
  </si>
  <si>
    <t>158 - Autres provisions pour charges</t>
  </si>
  <si>
    <t>7751 - Immobilisations incorporelles</t>
  </si>
  <si>
    <t>6238 - Divers (pourboires, dons courants, ...)</t>
  </si>
  <si>
    <t>447 - Autres impôts, taxes et versements assimilés</t>
  </si>
  <si>
    <t>269 - Versements restant à effectuer sur titres de participation non libérés</t>
  </si>
  <si>
    <t>1572 - Provisions pour gros entretien ou grandes révisions (Règlement n°2003-07 du CRC)</t>
  </si>
  <si>
    <t>775 - Produits des cessions d’éléments d’actif</t>
  </si>
  <si>
    <t>6237 - Publications</t>
  </si>
  <si>
    <t>446 - Obligations cautionnées</t>
  </si>
  <si>
    <t>2688 - Intérêts courus</t>
  </si>
  <si>
    <t>157 - Provisions pour charges à répartir sur plusieurs exercices</t>
  </si>
  <si>
    <t>7742 - Opérations liées à la liquidation de la fiducie</t>
  </si>
  <si>
    <t>6236 - Catalogues et imprimés</t>
  </si>
  <si>
    <t>44587 - Taxes sur le chiffres d’affaires sur factures à établir</t>
  </si>
  <si>
    <t>2681 - Principal</t>
  </si>
  <si>
    <t>156 - Provisions pour renouvellement des immobilisations (entreprises concessionnaires)</t>
  </si>
  <si>
    <t>7741 - Opérations liées à la constitution de la fiducie - transfert des éléments</t>
  </si>
  <si>
    <t>6235 - Primes</t>
  </si>
  <si>
    <t>44586 - Taxes sur le chiffre d’affaires sur factures non parvenues</t>
  </si>
  <si>
    <t>268 - Créances rattachées à des sociétés en participation</t>
  </si>
  <si>
    <t>155 - Provisions pour impôts</t>
  </si>
  <si>
    <t>774 - Opérations de constitution ou liquidation des fiducies</t>
  </si>
  <si>
    <t>6234 - Cadeaux à la clientèle</t>
  </si>
  <si>
    <t>44584 - T.V.A. récupérée d’avance</t>
  </si>
  <si>
    <t>2678 - Intérêts courus</t>
  </si>
  <si>
    <t>154 – Provisions pour restructurations (Règlement n°2000-06 du CRC)</t>
  </si>
  <si>
    <t>772 - (Compte à la disposition des entités pour enregistrer, en cours d’exercice, les produits sur exercices antérieurs)</t>
  </si>
  <si>
    <t>6233 - Foires et expositions</t>
  </si>
  <si>
    <t>44583 - Remboursement de taxes sur le chiffre d’affaires demandé</t>
  </si>
  <si>
    <t>2677 - Autres créances rattachées à des participations</t>
  </si>
  <si>
    <t>153 - Provisions pour pensions et obligations similaires</t>
  </si>
  <si>
    <t>7718 - Autres produits exceptionnels sur opérations de gestion</t>
  </si>
  <si>
    <t>6232 - Échantillons</t>
  </si>
  <si>
    <t>44582 - Acomptes - Régime du forfait</t>
  </si>
  <si>
    <t>2676 - Avances consolidables</t>
  </si>
  <si>
    <t>1518 - Autres provisions pour risques</t>
  </si>
  <si>
    <t>7717 - Dégrèvements d’impôts autres qu’impôts sur les bénéfices</t>
  </si>
  <si>
    <t>6231 - Annonces et insertions</t>
  </si>
  <si>
    <t>44581 - Acomptes - Régime simplifié d’imposition</t>
  </si>
  <si>
    <t>2675 - Versements représentatifs d’apports non capitalisés (appel de fonds)</t>
  </si>
  <si>
    <t>1516 – Provisions pour pertes sur contrats (Règlement n°2000-06 du CRC)</t>
  </si>
  <si>
    <t>7715 - Subventions d’équilibre</t>
  </si>
  <si>
    <t>623 - Publicité, publications, relations publiques</t>
  </si>
  <si>
    <t>4458 - Taxes sur le chiffre d’affaires à régulariser ou en attente</t>
  </si>
  <si>
    <t>2674 - Créances rattachées à des participations (hors groupe)</t>
  </si>
  <si>
    <t>1515 - Provisions pour pertes de change</t>
  </si>
  <si>
    <t>7714 - Rentrées sur créances amorties</t>
  </si>
  <si>
    <t>6228 - Divers</t>
  </si>
  <si>
    <t>44578 - Taxes assimilées à la T.V.A.</t>
  </si>
  <si>
    <t>2671 - Créances rattachées à des participations (groupe)</t>
  </si>
  <si>
    <t>1514 - Provisions pour amendes et pénalités</t>
  </si>
  <si>
    <t>7713 - Libéralités reçues</t>
  </si>
  <si>
    <t>6227 - Frais d’actes et de contentieux</t>
  </si>
  <si>
    <t>44571 - T.V.A. collectée</t>
  </si>
  <si>
    <t>267 - Créances rattachées à des participations</t>
  </si>
  <si>
    <t>1513 - Provisions pour pertes sur marchés à terme</t>
  </si>
  <si>
    <t>7711 - Dédits et pénalités perçus sur achats et sur ventes</t>
  </si>
  <si>
    <t>6226 - Honoraires</t>
  </si>
  <si>
    <t>4457 - Taxes sur le chiffre d’affaires collectées par l’entreprise</t>
  </si>
  <si>
    <t>2661 - Droits représentatifs d’actifs nets remis en fiducie</t>
  </si>
  <si>
    <t>1512 - Provisions pour garanties données aux clients</t>
  </si>
  <si>
    <t>771 - Produits exceptionnels sur opérations de gestion</t>
  </si>
  <si>
    <t>6225 - Rémunérations d’affacturage</t>
  </si>
  <si>
    <t>44568 - Taxes assimilées à la T.V.A.</t>
  </si>
  <si>
    <t>266 - Autres formes de participation</t>
  </si>
  <si>
    <t>1511 - Provisions pour litiges</t>
  </si>
  <si>
    <t>77 - PRODUITS EXCEPTIONNELS</t>
  </si>
  <si>
    <t>6224 - Rémunérations des transitaires</t>
  </si>
  <si>
    <t>44567 - Crédit de T.V.A. à reporter</t>
  </si>
  <si>
    <t>2618 - Autres titres</t>
  </si>
  <si>
    <t>151 - Provisions pour risques</t>
  </si>
  <si>
    <t>768 - Autres produits financiers</t>
  </si>
  <si>
    <t>6222 - Commissions et courtages sur ventes</t>
  </si>
  <si>
    <t>44566 - T.V.A. sur autres biens et services</t>
  </si>
  <si>
    <t>2611 - Actions</t>
  </si>
  <si>
    <t>15 - PROVISIONS – (Règlement n°2005-09 du CRC)</t>
  </si>
  <si>
    <t>767 - Produits nets sur cessions de valeurs mobilières de placement</t>
  </si>
  <si>
    <t>6221 - Commissions et courtages sur achats</t>
  </si>
  <si>
    <t>44563 - T.V.A. transférée par d’autres entreprises</t>
  </si>
  <si>
    <t>261 - Titres de participation</t>
  </si>
  <si>
    <t>148 - Autres provisions réglementées</t>
  </si>
  <si>
    <t>766 - Gains de change</t>
  </si>
  <si>
    <t>622 - Rémunérations d’intermédiaires et honoraires</t>
  </si>
  <si>
    <t>44562 - T.V.A. sur immobilisations</t>
  </si>
  <si>
    <t>26 - PARTICIPATIONS ET CREANCES RATTACHÉES À DES PARTICIPATIONS</t>
  </si>
  <si>
    <t>147 - Plus-values réinvesties</t>
  </si>
  <si>
    <t>765 - Escomptes obtenus</t>
  </si>
  <si>
    <t>6214 - Personnel détaché ou prêté à l’entreprise</t>
  </si>
  <si>
    <t>4456 - Taxes sur le chiffre d’affaires déductibles</t>
  </si>
  <si>
    <t>25 - PARTS DANS DES ENTREPRISES LIÉES ET CRÉANCES SUR DES ENTREPRISES LIÉES</t>
  </si>
  <si>
    <t>146 - Provision spéciale de réévaluation</t>
  </si>
  <si>
    <t>764 - Revenus des valeurs mobilières de placement</t>
  </si>
  <si>
    <t>6211 - Personnel intérimaire</t>
  </si>
  <si>
    <t>44558 - Taxes assimilées à la T.V.A.</t>
  </si>
  <si>
    <t>145 - Amortissements dérogatoires</t>
  </si>
  <si>
    <t>7638 - Revenus des créances diverses</t>
  </si>
  <si>
    <t>621 - Personnel extérieur à l’entreprise</t>
  </si>
  <si>
    <t>44551 - T.V.A. à décaisser</t>
  </si>
  <si>
    <t>2388 - Autres immobilisations corporelles</t>
  </si>
  <si>
    <t>144 - Provisions réglementées relatives aux autres éléments de l’actif</t>
  </si>
  <si>
    <t>7631 - Revenus des créances commerciales</t>
  </si>
  <si>
    <t>62 - Autres services extérieurs</t>
  </si>
  <si>
    <t>4455 - Taxes sur le chiffre d’affaires à décaisser</t>
  </si>
  <si>
    <t>2385 - Installations techniques, matériel et outillage industriels</t>
  </si>
  <si>
    <t>1432 - Fluctuation des cours</t>
  </si>
  <si>
    <t>763 - Revenus des autres créances</t>
  </si>
  <si>
    <t>619 - Rabais, remises et ristournes obtenus sur services extérieurs</t>
  </si>
  <si>
    <t>4452 - T.V.A. due intracommunautaire</t>
  </si>
  <si>
    <t>2383 - Constructions</t>
  </si>
  <si>
    <t>1431 - Hausse des prix</t>
  </si>
  <si>
    <t>7627 - Revenus des créances immobilisées</t>
  </si>
  <si>
    <t>6185 - Frais de colloques, séminaires, conférences</t>
  </si>
  <si>
    <t>445 - État - Taxes sur le chiffre d’affaires</t>
  </si>
  <si>
    <t>2382 - Terrains</t>
  </si>
  <si>
    <t>143 - Provisions réglementées relatives aux stocks</t>
  </si>
  <si>
    <t>7626 - Revenus des prêts</t>
  </si>
  <si>
    <t>6183 - Documentation technique</t>
  </si>
  <si>
    <t>444 - État - Impôts sur les bénéfices</t>
  </si>
  <si>
    <t>238 - Avances et acomptes versés sur commandes d’immobilisations corporelles</t>
  </si>
  <si>
    <t>1424 - Provisions pour investissement (participation des salariés)</t>
  </si>
  <si>
    <t>7621 - Revenus des titres immobilisés</t>
  </si>
  <si>
    <t>6181 - Documentation générale</t>
  </si>
  <si>
    <t>4438 - Intérêts courus sur créances figurant au compte 4431</t>
  </si>
  <si>
    <t>3972 - Marchandise (ou groupe) B</t>
  </si>
  <si>
    <t>237 - Avances et acomptes versés sur commandes d’immobilisations incorporelles</t>
  </si>
  <si>
    <t>1423 - Provisions pour reconstitution des gisements miniers et pétroliers</t>
  </si>
  <si>
    <t>762 - Produits des autres immobilisations financières</t>
  </si>
  <si>
    <t>618 - Divers</t>
  </si>
  <si>
    <t>4431 - Créances sur l’Etat résultant de la suppression de la règle du décalage d’un mois en matière de T.V.A.</t>
  </si>
  <si>
    <t>3971 - Marchandise (ou groupe) A</t>
  </si>
  <si>
    <t>232 - Immobilisations incorporelles en cours</t>
  </si>
  <si>
    <t>142 - Provisions réglementées relatives aux immobilisations</t>
  </si>
  <si>
    <t>7617 - Revenus des créances rattachées à des participations</t>
  </si>
  <si>
    <t>617 - Études et recherches</t>
  </si>
  <si>
    <t>443 - Opérations particulières avec l’État, les collectivités publiques, les organismes internationaux</t>
  </si>
  <si>
    <t>397 - Dépréciations des stocks de marchandises (Règlement n°2005-09 du CRC)</t>
  </si>
  <si>
    <t>2318 - Autres immobilisations corporelles</t>
  </si>
  <si>
    <t>14 - PROVISIONS REGLEMENTEES</t>
  </si>
  <si>
    <t>7616 - Revenus sur autres formes de participation</t>
  </si>
  <si>
    <t>6165 - Insolvabilité clients</t>
  </si>
  <si>
    <t>4425 - Associés</t>
  </si>
  <si>
    <t>3955 - Produits finis (même ventilation que celle du compte 355)</t>
  </si>
  <si>
    <t>2315 - Installations techniques, matériel et outillage industriels</t>
  </si>
  <si>
    <t>1398 - Autres subventions d’investissement (même ventilation que celle du compte 1391)</t>
  </si>
  <si>
    <t>7612 - Produits de la fiducie, résultat de la période</t>
  </si>
  <si>
    <t>6164 - Risques d’exploitation</t>
  </si>
  <si>
    <t>4424 - Obligataires</t>
  </si>
  <si>
    <t>3951 - Produits intermédiaires (même ventilation que celle du compte 351)</t>
  </si>
  <si>
    <t>2313 - Constructions</t>
  </si>
  <si>
    <t>13918 - Autres</t>
  </si>
  <si>
    <t>7611 - Revenus des titres de participation</t>
  </si>
  <si>
    <t>61638 - sur autres biens</t>
  </si>
  <si>
    <t>442 - État - Impôts et taxes recouvrables sur des tiers</t>
  </si>
  <si>
    <t>395 - Dépréciations des stocks de produits (Règlement n°2005-09 du CRC)</t>
  </si>
  <si>
    <t>2312 - Terrains</t>
  </si>
  <si>
    <t>13917 - Entreprises et organismes privés</t>
  </si>
  <si>
    <t>761 - Produits de participations</t>
  </si>
  <si>
    <t>61637 - sur ventes</t>
  </si>
  <si>
    <t>4419 - Avances sur subventions</t>
  </si>
  <si>
    <t>3945 - Prestations de services en cours (même ventilation que celle du compte 345)</t>
  </si>
  <si>
    <t>231 - Immobilisations corporelles en cours</t>
  </si>
  <si>
    <t>13916 - Entreprises publiques</t>
  </si>
  <si>
    <t>76 - PRODUITS FINANCIERS</t>
  </si>
  <si>
    <t>61636 - sur achats</t>
  </si>
  <si>
    <t>4418 - Subventions d’équilibre</t>
  </si>
  <si>
    <t>3941 - Études en cours (même ventilation que celle du compte 341)</t>
  </si>
  <si>
    <t>23 - IMMOBILISATIONS EN COURS</t>
  </si>
  <si>
    <t>13915 - Collectivités publiques</t>
  </si>
  <si>
    <t>758 - Produits divers de gestion courante</t>
  </si>
  <si>
    <t>6163 - Assurance-transport</t>
  </si>
  <si>
    <t>4417 - Subventions d’exploitation</t>
  </si>
  <si>
    <t>394 - Dépréciations des en-cours de production de services (Règlement n°2005-09 du CRC)</t>
  </si>
  <si>
    <t>22 - IMMOBILISATIONS MISES EN CONCESSION</t>
  </si>
  <si>
    <t>13914 - Communes</t>
  </si>
  <si>
    <t>7555 - Quote-part de bénéfice attribuée (comptabilité des associés non-gérants)</t>
  </si>
  <si>
    <t>6162 - Assurance obligatoire dommage construction</t>
  </si>
  <si>
    <t>4411 - Subventions d’investissement</t>
  </si>
  <si>
    <t>3935 - Travaux en cours (même ventilation que celle du compte 335)</t>
  </si>
  <si>
    <t>2186 - Emballages récupérables</t>
  </si>
  <si>
    <t>13913 - Départements</t>
  </si>
  <si>
    <t>7551 - Quote-part de perte transférée (comptabilité du gérant)</t>
  </si>
  <si>
    <t>6161 - Multirisques</t>
  </si>
  <si>
    <t>441 - Etat - Subventions à recevoir</t>
  </si>
  <si>
    <t>3931 - Produits en cours (même ventilation que celle du compte 331)</t>
  </si>
  <si>
    <t>2185 - Cheptel</t>
  </si>
  <si>
    <t>13912 - Régions</t>
  </si>
  <si>
    <t>755 - Quotes-parts de résultat sur opérations faites en commun</t>
  </si>
  <si>
    <t>616 - Primes d’assurances</t>
  </si>
  <si>
    <t>44 - ETAT ET AUTRES COLLECTIVITES PUBLIQUES</t>
  </si>
  <si>
    <t>393 - Dépréciations des en-cours de production de biens (Règlement n°2005-09 du CRC)</t>
  </si>
  <si>
    <t>2184 - Mobilier</t>
  </si>
  <si>
    <t>13911 - État</t>
  </si>
  <si>
    <t>754 - Ristournes perçues des coopératives (provenant des excédents)</t>
  </si>
  <si>
    <t>6156 - Maintenance</t>
  </si>
  <si>
    <t>4387 - Produits à recevoir</t>
  </si>
  <si>
    <t>3926 - Emballages (même ventilation que celle du compte 326)</t>
  </si>
  <si>
    <t>2183 - Matériel de bureau et matériel informatique</t>
  </si>
  <si>
    <t>1391 - Subventions d’équipement</t>
  </si>
  <si>
    <t>753 - Jetons de présence et rémunérations d’administrateurs, gérants</t>
  </si>
  <si>
    <t>6155 - sur biens mobiliers</t>
  </si>
  <si>
    <t>4386 - Autres charges à payer</t>
  </si>
  <si>
    <t>3922 - Fournitures consommables (même ventilation que celle du compte 322)</t>
  </si>
  <si>
    <t>2182 - Matériel de transport</t>
  </si>
  <si>
    <t>139 - Subventions d’investissement inscrites au compte de résultat</t>
  </si>
  <si>
    <t>752 - Revenus des immeubles non affectés à des activités professionnelles</t>
  </si>
  <si>
    <t>6152 - sur biens immobiliers</t>
  </si>
  <si>
    <t>4382 - Charges sociales sur congés à payer</t>
  </si>
  <si>
    <t>3921 - Matières consommables (même ventilation que celle du compte 321)</t>
  </si>
  <si>
    <t>2181 - Installations générales, agencements, aménagements divers</t>
  </si>
  <si>
    <t>138 - Autres subventions d’investissement (même ventilation que celle du compte 131)</t>
  </si>
  <si>
    <t>7518 - Autres droits et valeurs similaires</t>
  </si>
  <si>
    <t>615 - Entretien et réparations</t>
  </si>
  <si>
    <t>5908 - Autres valeurs mobilières de placement et créances assimilées</t>
  </si>
  <si>
    <t>438 - Organismes sociaux - Charges à payer et produits à recevoir</t>
  </si>
  <si>
    <t>392 - Dépréciations des autres approvisionnements (Règlement n° 2005-09 du CRC)</t>
  </si>
  <si>
    <t>218 - Autres immobilisations corporelles</t>
  </si>
  <si>
    <t>1318 - Autres</t>
  </si>
  <si>
    <t>7516 - Droits d’auteur et de reproduction</t>
  </si>
  <si>
    <t>614 - Charges locatives et de copropriété</t>
  </si>
  <si>
    <t>5906 - Obligations</t>
  </si>
  <si>
    <t>437 - Autres organismes sociaux</t>
  </si>
  <si>
    <t>3917 - Fournitures A, B, C, ...</t>
  </si>
  <si>
    <t>2157 - Agencements et aménagements du matériel et outillage industriels</t>
  </si>
  <si>
    <t>1317 - Entreprises et organismes privés</t>
  </si>
  <si>
    <t>7511 - Redevances pour concessions, brevets, licences, marques, procédés, logiciels</t>
  </si>
  <si>
    <t>6136 - Malis sur emballages</t>
  </si>
  <si>
    <t>5904 - Autres titres conférant un droit de propriété</t>
  </si>
  <si>
    <t>431 - Sécurité sociale</t>
  </si>
  <si>
    <t>3912 - Matières (ou groupe) B</t>
  </si>
  <si>
    <t>2155 - Outillage industriel</t>
  </si>
  <si>
    <t>1316 - Entreprises publiques</t>
  </si>
  <si>
    <t>751 - Redevances pour concessions, brevets, licences, marques, procédés, logiciels, droits et valeurs similaires</t>
  </si>
  <si>
    <t>6135 - Locations mobilières</t>
  </si>
  <si>
    <t>5903 - Actions</t>
  </si>
  <si>
    <t>43 - SECURITE SOCIALE ET AUTRES ORGANISMES SOCIAUX</t>
  </si>
  <si>
    <t>3911 - Matières (ou groupe) A</t>
  </si>
  <si>
    <t>2154 - Matériel industriel</t>
  </si>
  <si>
    <t>1315 - Collectivités publiques</t>
  </si>
  <si>
    <t>75 - AUTRES PRODUITS DE GESTION COURANTE</t>
  </si>
  <si>
    <t>6132 - Locations immobilières</t>
  </si>
  <si>
    <t>590 - Dépréciations des valeurs mobilières de placement (Règlement n°2005-09 du CRC)</t>
  </si>
  <si>
    <t>4287 - Produits à recevoir</t>
  </si>
  <si>
    <t>391 - Dépréciations des matières premières (et fournitures) (Règlement n°2005-09 du CRC)</t>
  </si>
  <si>
    <t>21534 - sur sol d’autrui</t>
  </si>
  <si>
    <t>1314 - Communes</t>
  </si>
  <si>
    <t>74 - SUBVENTIONS D’EXPLOITATION</t>
  </si>
  <si>
    <t>613 - Locations</t>
  </si>
  <si>
    <t>59 - DEPRECIATIONS DES COMPTES FINANCIERS – (Règlement n°2005-09 du CRC)</t>
  </si>
  <si>
    <t>4286 - Autres charges à payer</t>
  </si>
  <si>
    <t>39 - DEPRECIATIONS DES STOCKS ET EN-COURS – (Règlement n°2005-09 du CRC)</t>
  </si>
  <si>
    <t>21531 - sur sol propre</t>
  </si>
  <si>
    <t>1313 - Départements</t>
  </si>
  <si>
    <t>731 et 739 (Supprimés par le règlement n°99-08 du CRC)</t>
  </si>
  <si>
    <t>6125 - Crédit-bail immobilier</t>
  </si>
  <si>
    <t>58 - VIREMENTS INTERNES</t>
  </si>
  <si>
    <t>4284 - Dettes provisionnées pour participation des salariés aux résultats</t>
  </si>
  <si>
    <t>38 - (lorsque l’entité tient un inventaire permanent en comptabilité générale, le compte 38 peut être utilisé pour comptabiliser les stocks en voie d’acheminement, mis en dépôt ou donnés en consignation)</t>
  </si>
  <si>
    <t>2153 - Installations à caractère spécifique</t>
  </si>
  <si>
    <t>1312 - Régions</t>
  </si>
  <si>
    <t>73 (Supprimé par le règlement n°99-08 du CRC)</t>
  </si>
  <si>
    <t>6122 - Crédit-bail mobilier</t>
  </si>
  <si>
    <t>54 - REGIES D’AVANCE ET ACCREDITIFS</t>
  </si>
  <si>
    <t>4282 - Dettes provisionnées pour congés à payer</t>
  </si>
  <si>
    <t>372 - Marchandises (ou groupe) B</t>
  </si>
  <si>
    <t>21514 - sur sol d’autrui</t>
  </si>
  <si>
    <t>1311 - État</t>
  </si>
  <si>
    <t>722 - Immobilisations corporelles</t>
  </si>
  <si>
    <t>612 - Redevances de crédit-bail</t>
  </si>
  <si>
    <t>533 - Caisse succursale (ou usine) B</t>
  </si>
  <si>
    <t>428 - Personnel - Charges à payer et produits à recevoir</t>
  </si>
  <si>
    <t>371 - Marchandises (ou groupe) A</t>
  </si>
  <si>
    <t>21511 - sur sol propre</t>
  </si>
  <si>
    <t>131 - Subventions d’équipement</t>
  </si>
  <si>
    <t>721 - Immobilisations incorporelles</t>
  </si>
  <si>
    <t>611 - Sous-traitance générale</t>
  </si>
  <si>
    <t>532 - Caisse succursale (ou usine) A</t>
  </si>
  <si>
    <t>427 - Personnel - Oppositions</t>
  </si>
  <si>
    <t>37 - STOCKS DE MARCHANDISES</t>
  </si>
  <si>
    <t>2151 - Installations complexes spécialisées</t>
  </si>
  <si>
    <t>13 - SUBVENTIONS D’INVESTISSEMENT</t>
  </si>
  <si>
    <t>72 - PRODUCTION IMMOBILISEE</t>
  </si>
  <si>
    <t>61 - Services extérieurs</t>
  </si>
  <si>
    <t>5314 - Caisse en devises</t>
  </si>
  <si>
    <t>426 - Personnel - Dépôts</t>
  </si>
  <si>
    <t>36 - (compte à ouvrir, le cas échéant, sous l’intitulé « stocks provenant d’immobilisations »)</t>
  </si>
  <si>
    <t>215 - Installations techniques, matériels et outillage industriels</t>
  </si>
  <si>
    <t>129 - Résultat de l’exercice (perte)</t>
  </si>
  <si>
    <t>71358 - Produits résiduels</t>
  </si>
  <si>
    <t>61/62 - AUTRES CHARGES EXTERNES</t>
  </si>
  <si>
    <t>5311 - Caisse en monnaie nationale</t>
  </si>
  <si>
    <t>425 - Personnel - Avances et acomptes</t>
  </si>
  <si>
    <t>3586 - Matières de récupération</t>
  </si>
  <si>
    <t>214 - Constructions sur sol d’autrui (même ventilation que celle du compte 213)</t>
  </si>
  <si>
    <t>120 - Résultat de l’exercice (bénéfice)</t>
  </si>
  <si>
    <t>71355 - Produits finis</t>
  </si>
  <si>
    <t>6037 - Variation des stocks de marchandises</t>
  </si>
  <si>
    <t>531 - Caisse siège social</t>
  </si>
  <si>
    <t>4248 - Comptes courants</t>
  </si>
  <si>
    <t>3585 - Rebuts</t>
  </si>
  <si>
    <t>21385 - Pistes d’aérodromes</t>
  </si>
  <si>
    <t>12 - RESULTAT DE L’EXERCICE (bénéfice ou perte)</t>
  </si>
  <si>
    <t>71351 - Produits intermédiaires</t>
  </si>
  <si>
    <t>6032 - Variation des stocks des autres approvisionnements</t>
  </si>
  <si>
    <t>53 - CAISSE</t>
  </si>
  <si>
    <t>4246 - Réserve spéciale (art. L. 442-2 du Code du travail)</t>
  </si>
  <si>
    <t>3581 - Déchets</t>
  </si>
  <si>
    <t>21384 - Barrages</t>
  </si>
  <si>
    <t>119 - Report à nouveau (solde débiteur)</t>
  </si>
  <si>
    <t>7135 - Variation des stocks de produits</t>
  </si>
  <si>
    <t>6031 - Variation des stocks de matières premières (et fournitures)</t>
  </si>
  <si>
    <t>52 - INSTRUMENTS DE TRÉSORERIE</t>
  </si>
  <si>
    <t>424 - Participation des salariés aux résultats</t>
  </si>
  <si>
    <t>358 - Produits résiduels (ou matières de récupération)</t>
  </si>
  <si>
    <t>21383 - Voies d’eau</t>
  </si>
  <si>
    <t>110 - Report à nouveau (solde créditeur)</t>
  </si>
  <si>
    <t>71345 - Prestations de services en cours</t>
  </si>
  <si>
    <t>603 - VARIATIONS DES STOCKS (approvisionnements et marchandises)</t>
  </si>
  <si>
    <t>5198 - Intérêts courus sur concours bancaires courants</t>
  </si>
  <si>
    <t>422 - Comités d’entreprises, d’établissement, …</t>
  </si>
  <si>
    <t>3552 - Produits finis (ou groupe) B</t>
  </si>
  <si>
    <t>21382 - Voies de fer</t>
  </si>
  <si>
    <t>11 - REPORT A NOUVEAU (solde créditeur ou débiteur)</t>
  </si>
  <si>
    <t>71341 - Études en cours</t>
  </si>
  <si>
    <t>6098 - Rabais, remises et ristournes non affectés</t>
  </si>
  <si>
    <t>5193 - Mobilisation de créances nées à l’étranger</t>
  </si>
  <si>
    <t>421 - Personnel - Rémunérations dues</t>
  </si>
  <si>
    <t>3551 - Produits finis (ou groupe) A</t>
  </si>
  <si>
    <t>21381 - Voies de terre</t>
  </si>
  <si>
    <t>109 - Actionnaires : Capital souscrit - non appelé</t>
  </si>
  <si>
    <t>7134 - Variation des en-cours de production de services</t>
  </si>
  <si>
    <t>6097 - de marchandises</t>
  </si>
  <si>
    <t>5191 - Crédit de mobilisation de créances commerciales (CMCC)</t>
  </si>
  <si>
    <t>42 - PERSONNEL ET COMPTES RATTACHES</t>
  </si>
  <si>
    <t>355 - Produits finis</t>
  </si>
  <si>
    <t>2138 - Ouvrages d’infrastructure</t>
  </si>
  <si>
    <t>108 - Compte de l’exploitant</t>
  </si>
  <si>
    <t>71335 - Travaux en cours</t>
  </si>
  <si>
    <t>6096 - d’approvisionnements non stockés</t>
  </si>
  <si>
    <t>519 - Concours bancaires courants</t>
  </si>
  <si>
    <t>4198 - Rabais, remises, ristournes à accorder et autres avoirs à établir</t>
  </si>
  <si>
    <t>3512 - Produits intermédiaires (ou groupe) B</t>
  </si>
  <si>
    <t>2135 - Installations générales - agencements - aménagements des constructions (même ventilation que celle du compte 2131)</t>
  </si>
  <si>
    <t>107 - Écart d’équivalence</t>
  </si>
  <si>
    <t>71331 - Produits en cours</t>
  </si>
  <si>
    <t>6095 - de matériel, équipements et travaux</t>
  </si>
  <si>
    <t>5188 - Intérêts courus à recevoir</t>
  </si>
  <si>
    <t>4197 - Clients - Autres avoirs</t>
  </si>
  <si>
    <t>3511 - Produits intermédiaires (ou groupe) A</t>
  </si>
  <si>
    <t>213188 - affectés aux opérations non professionnelles (A, B...)</t>
  </si>
  <si>
    <t>10688 - Réserves diverses</t>
  </si>
  <si>
    <t>7133 - Variation des en-cours de production de biens</t>
  </si>
  <si>
    <t>6094 - d’études et prestations de services</t>
  </si>
  <si>
    <t>5181 - Intérêts courus à payer</t>
  </si>
  <si>
    <t>4196 - Clients - Dettes sur emballages et matériels consignés</t>
  </si>
  <si>
    <t>351 - Produits intermédiaires</t>
  </si>
  <si>
    <t>213181 - affectés aux opérations professionnelles (A, B...)</t>
  </si>
  <si>
    <t>10681 - Réserve de propre assureur</t>
  </si>
  <si>
    <t>713 - Variation des stocks (en-cours de production, produits)</t>
  </si>
  <si>
    <t>6092 - d’autres approvisionnements stockés</t>
  </si>
  <si>
    <t>518 - Intérêts courus</t>
  </si>
  <si>
    <t>4191 - Clients - Avances et acomptes reçus sur commandes</t>
  </si>
  <si>
    <t>35 - STOCKS DE PRODUITS</t>
  </si>
  <si>
    <t>21318 - Autres ensembles immobiliers</t>
  </si>
  <si>
    <t>1068 - Autres réserves</t>
  </si>
  <si>
    <t>71 - PRODUCTION STOCKEE (OU DESTOCKAGE)</t>
  </si>
  <si>
    <t>6091 - de matières premières (et fournitures)</t>
  </si>
  <si>
    <t>517 - Autres organismes financiers</t>
  </si>
  <si>
    <t>419 - Clients créditeurs</t>
  </si>
  <si>
    <t>3452 - Prestations de services S 2</t>
  </si>
  <si>
    <t>21315 - Ensembles immobiliers administratifs et commerciaux (A, B...)</t>
  </si>
  <si>
    <t>10648 - Autres réserves réglementées</t>
  </si>
  <si>
    <t>7098 - sur produits des activités annexes</t>
  </si>
  <si>
    <t>609 - Rabais, remises et ristournes obtenus sur achats</t>
  </si>
  <si>
    <t>516 - Sociétés de bourse</t>
  </si>
  <si>
    <t>4188 - Clients - Intérêts courus</t>
  </si>
  <si>
    <t>3451 - Prestations de services S 1</t>
  </si>
  <si>
    <t>21311 - Ensembles immobiliers industriels (A, B...)</t>
  </si>
  <si>
    <t>10643 - Réserves consécutives à l’octroi de subventions d’investissement</t>
  </si>
  <si>
    <t>7097 - sur ventes de marchandises</t>
  </si>
  <si>
    <t>608 - (Compte réservé, le cas échéant, à la récapitulation des frais accessoires incorporés aux achats)</t>
  </si>
  <si>
    <t>515 - « Caisses » du Trésor et des établissements publics</t>
  </si>
  <si>
    <t>4181 - Clients - Factures à établir</t>
  </si>
  <si>
    <t>345 - Prestations de services en cours</t>
  </si>
  <si>
    <t>2131 - Bâtiments</t>
  </si>
  <si>
    <t>10641 - Plus-values nettes à long terme</t>
  </si>
  <si>
    <t>7096 - sur prestations de services</t>
  </si>
  <si>
    <t>6072 - Marchandise (ou groupe) B</t>
  </si>
  <si>
    <t>514 - Chèques postaux</t>
  </si>
  <si>
    <t>418 - Clients - Produits non encore facturés</t>
  </si>
  <si>
    <t>3412 - Études en cours E 2</t>
  </si>
  <si>
    <t>213 - Constructions</t>
  </si>
  <si>
    <t>1064 - Réserves réglementées</t>
  </si>
  <si>
    <t>7095 - sur études</t>
  </si>
  <si>
    <t>6071 - Marchandise (ou groupe) A</t>
  </si>
  <si>
    <t>5124 - Comptes en devises</t>
  </si>
  <si>
    <t>416 - Clients douteux ou litigieux (Supprimé par le règlement n°99-08 du CRC)</t>
  </si>
  <si>
    <t>3411 - Études en cours E 1</t>
  </si>
  <si>
    <t>212 - Agencements et aménagements de terrains (même ventilation que celle du compte 211)</t>
  </si>
  <si>
    <t>1063 - Réserves statutaires ou contractuelles</t>
  </si>
  <si>
    <t>7094 - sur travaux</t>
  </si>
  <si>
    <t>607 - Achats de marchandises</t>
  </si>
  <si>
    <t>5121 - Comptes en monnaie nationale</t>
  </si>
  <si>
    <t>413 - Clients - Effets à recevoir</t>
  </si>
  <si>
    <t>341 - Études en cours</t>
  </si>
  <si>
    <t>2116 - Compte d’ordre sur immobilisations (art. 6 du décret n°78-737 du 11 juillet 1978)</t>
  </si>
  <si>
    <t>1062 - Réserves indisponibles</t>
  </si>
  <si>
    <t>7092 - sur ventes de produits intermédiaires</t>
  </si>
  <si>
    <t>6068 - Autres matières et fournitures</t>
  </si>
  <si>
    <t>512 - Banques</t>
  </si>
  <si>
    <t>4117 - Clients - Retenues de garantie</t>
  </si>
  <si>
    <t>34 - EN-COURS DE PRODUCTION DE SERVICES</t>
  </si>
  <si>
    <t>211588 - affectés aux opérations non professionnelles (A, B...)</t>
  </si>
  <si>
    <t>10612 - Plus-values nettes à long terme</t>
  </si>
  <si>
    <t>7091 - sur ventes de produits finis</t>
  </si>
  <si>
    <t>6064 - Fournitures administratives</t>
  </si>
  <si>
    <t>5114 - Effets à l’escompte</t>
  </si>
  <si>
    <t>4111 - Clients - Ventes de biens ou de prestations de services</t>
  </si>
  <si>
    <t>3352 - Travaux en cours T 2</t>
  </si>
  <si>
    <t>211581 - affectés aux opérations professionnelles (A, B...)</t>
  </si>
  <si>
    <t>10611 - Réserve légale proprement dite</t>
  </si>
  <si>
    <t>709 - Rabais, remises et ristournes accordés par l’entreprise</t>
  </si>
  <si>
    <t>6063 - Fournitures d’entretien et de petit équipement</t>
  </si>
  <si>
    <t>5113 - Effets à l’encaissement</t>
  </si>
  <si>
    <t>411 - Clients</t>
  </si>
  <si>
    <t>3351 - Travaux en cours T 1</t>
  </si>
  <si>
    <t>21158 - Autres ensembles immobiliers</t>
  </si>
  <si>
    <t>1061 - Réserve légale</t>
  </si>
  <si>
    <t>7088 - Autres produits d’activités annexes (cessions d’approvisionnements,...)</t>
  </si>
  <si>
    <t>6061 - Fournitures non stockables (eau, énergie, ...)</t>
  </si>
  <si>
    <t>5112 - Chèques à encaisser</t>
  </si>
  <si>
    <t>410 - Clients et Comptes rattachés</t>
  </si>
  <si>
    <t>335 - Travaux en cours</t>
  </si>
  <si>
    <t>21155 - Ensembles immobiliers administratifs et commerciaux (A, B...)</t>
  </si>
  <si>
    <t>106 - Réserves</t>
  </si>
  <si>
    <t>7087 - Bonifications obtenues des clients et primes sur ventes</t>
  </si>
  <si>
    <t>606 - Achats non stockés de matières et fournitures</t>
  </si>
  <si>
    <t>5111 - Coupons échus à l’encaissement</t>
  </si>
  <si>
    <t>41 - CLIENTS ET COMPTES RATTACHES</t>
  </si>
  <si>
    <t>3312 - Produits en cours P 2</t>
  </si>
  <si>
    <t>21151 - Ensembles immobiliers industriels (A, B...)</t>
  </si>
  <si>
    <t>1058 - Autres écarts de réévaluation à l’Étranger</t>
  </si>
  <si>
    <t>7086 - Bonis sur reprises d’emballages consignés</t>
  </si>
  <si>
    <t>605 - Achats de matériel, équipements et travaux</t>
  </si>
  <si>
    <t>511 - Valeurs à l’encaissement</t>
  </si>
  <si>
    <t>4098 - Rabais, remises, ristournes à obtenir et autres avoirs non encore reçus</t>
  </si>
  <si>
    <t>3311 - Produits en cours P 1</t>
  </si>
  <si>
    <t>2115 - Terrains bâtis</t>
  </si>
  <si>
    <t>1057 - Autres écarts de réévaluation en France</t>
  </si>
  <si>
    <t>7085 - Ports et frais accessoires facturés</t>
  </si>
  <si>
    <t>604 - Achats d’études et prestations de services</t>
  </si>
  <si>
    <t>51 - BANQUES, ETABLISSEMENTS FINANCIERS ET ASSIMILES</t>
  </si>
  <si>
    <t>40974 - Fournisseurs d’immobilisations</t>
  </si>
  <si>
    <t>331 - Produits en cours</t>
  </si>
  <si>
    <t>21141 - Carrières</t>
  </si>
  <si>
    <t>1055 - Écarts de réévaluation (autres opérations légales)</t>
  </si>
  <si>
    <t>7084 - Mise à disposition de personnel facturée</t>
  </si>
  <si>
    <t>60267 – Emballages à usage mixte</t>
  </si>
  <si>
    <t>509 - Versements restant à effectuer sur valeurs mobilières de placement non libérées</t>
  </si>
  <si>
    <t>40971 - Fournisseurs d’exploitation</t>
  </si>
  <si>
    <t>33 - EN-COURS DE PRODUCTION DE BIENS</t>
  </si>
  <si>
    <t>2114 - Terrains de gisement</t>
  </si>
  <si>
    <t>1053 - Réserve de réévaluation</t>
  </si>
  <si>
    <t>7083 - Locations diverses</t>
  </si>
  <si>
    <t>60265 Emballages récupérables non identifiables</t>
  </si>
  <si>
    <t>5088 - Intérêts courus sur obligations, bons et valeurs assimilées</t>
  </si>
  <si>
    <t>4097 - Fournisseurs - Autres avoirs</t>
  </si>
  <si>
    <t>3267 - Emballages à usage mixte</t>
  </si>
  <si>
    <t>2113 - Sous-sols et sur-sols</t>
  </si>
  <si>
    <t>1052 - Écart de réévaluation libre</t>
  </si>
  <si>
    <t>7082 - Commissions et courtages</t>
  </si>
  <si>
    <t>60261 - Emballages perdus</t>
  </si>
  <si>
    <t>5082 - Bons de souscription</t>
  </si>
  <si>
    <t>4096 - Fournisseurs - Créances pour emballages et matériel à rendre</t>
  </si>
  <si>
    <t>3265 - Emballages récupérables non identifiables</t>
  </si>
  <si>
    <t>2112 - Terrains aménagés</t>
  </si>
  <si>
    <t>1051 - Réserve spéciale de réévaluation</t>
  </si>
  <si>
    <t>7081 - Produits des services exploités dans l’intérêt du personnel</t>
  </si>
  <si>
    <t>6026 - Emballages</t>
  </si>
  <si>
    <t>5081 - Autres valeurs mobilières</t>
  </si>
  <si>
    <t>4091 - Fournisseurs - Avances et acomptes versés sur commandes</t>
  </si>
  <si>
    <t>3261 - Emballages perdus</t>
  </si>
  <si>
    <t>2111 - Terrains nus</t>
  </si>
  <si>
    <t>105 - Écarts de réévaluation</t>
  </si>
  <si>
    <t>708 - Produits des activités annexes</t>
  </si>
  <si>
    <t>60225 - Fournitures de bureau</t>
  </si>
  <si>
    <t>508 - Autres valeurs mobilières de placement et autres créances assimilées</t>
  </si>
  <si>
    <t>409 - Fournisseurs débiteurs</t>
  </si>
  <si>
    <t>326 - Emballages</t>
  </si>
  <si>
    <t>211 - Terrains</t>
  </si>
  <si>
    <t>1045 - Bons de souscription d’actions</t>
  </si>
  <si>
    <t>7072 - Marchandises (ou groupe) B</t>
  </si>
  <si>
    <t>60224 - Fournitures de magasin</t>
  </si>
  <si>
    <t>507 - Bons du Trésor et bons de caisse à court terme</t>
  </si>
  <si>
    <t>4088 - Fournisseurs - Intérêts courus</t>
  </si>
  <si>
    <t>3225 - Fournitures de bureau</t>
  </si>
  <si>
    <t>21 - IMMOBILISATIONS CORPORELLES</t>
  </si>
  <si>
    <t>1044 - Primes de conversion d’obligations en actions</t>
  </si>
  <si>
    <t>7071 - Marchandises (ou groupe) A</t>
  </si>
  <si>
    <t>60223 - Fournitures d’atelier et d’usine</t>
  </si>
  <si>
    <t>5065 - Titres non cotés</t>
  </si>
  <si>
    <t>4084 - Fournisseurs d’immobilisations</t>
  </si>
  <si>
    <t>3224 - Fournitures de magasin</t>
  </si>
  <si>
    <t>208 - Autres immobilisations incorporelles</t>
  </si>
  <si>
    <t>1043 - Primes d’apport</t>
  </si>
  <si>
    <t>707 - Ventes de marchandises</t>
  </si>
  <si>
    <t>60222 - Produits d’entretien</t>
  </si>
  <si>
    <t>5061 - Titres cotés</t>
  </si>
  <si>
    <t>4081 - Fournisseurs</t>
  </si>
  <si>
    <t>3223 - Fournitures d’atelier et d’usine</t>
  </si>
  <si>
    <t>2071 – Ecart résiduel sur fonds agricole</t>
  </si>
  <si>
    <t>1042 - Primes de fusion</t>
  </si>
  <si>
    <t>706 - Prestations de services</t>
  </si>
  <si>
    <t>60221 - Combustibles</t>
  </si>
  <si>
    <t>506 - Obligations</t>
  </si>
  <si>
    <t>408 - Fournisseurs - Factures non parvenues</t>
  </si>
  <si>
    <t>3222 - Produits d’entretien</t>
  </si>
  <si>
    <t>207 - Fonds commercial</t>
  </si>
  <si>
    <t>1041 - Primes d’émission</t>
  </si>
  <si>
    <t>705 - Études</t>
  </si>
  <si>
    <t>6022 - Fournitures consommables</t>
  </si>
  <si>
    <t>505 - Obligations et bons émis par la société et rachetés par elle</t>
  </si>
  <si>
    <t>405 - Fournisseurs d’immobilisations - Effets à payer</t>
  </si>
  <si>
    <t>3221 - Combustibles</t>
  </si>
  <si>
    <t>206 - Droit au bail</t>
  </si>
  <si>
    <t>104 - Primes liées au capital social</t>
  </si>
  <si>
    <t>7042 - Travaux de catégorie (ou activité) B</t>
  </si>
  <si>
    <t>60212 - Matières (ou groupe) D</t>
  </si>
  <si>
    <t>504 - Autres titres conférant un droit de propriété</t>
  </si>
  <si>
    <t>4047 - Fournisseurs d’immobilisations - Retenues de garantie</t>
  </si>
  <si>
    <t>322 - Fournitures consommables</t>
  </si>
  <si>
    <t>205 - Concessions et droits similaires, brevets, licences, marques, procédés, logiciels, droits et valeurs similaires</t>
  </si>
  <si>
    <t>102 - Fonds fiduciaires</t>
  </si>
  <si>
    <t>7041 - Travaux de catégorie (ou activité) A</t>
  </si>
  <si>
    <t>60211 - Matières (ou groupe) C</t>
  </si>
  <si>
    <t>5035 - Titres non cotés</t>
  </si>
  <si>
    <t>4041 - Fournisseurs - Achats d’immobilisations</t>
  </si>
  <si>
    <t>3212 - Matières (ou groupe) D</t>
  </si>
  <si>
    <t>203 - Frais de recherche et de développement</t>
  </si>
  <si>
    <t>1018 - Capital souscrit soumis à des réglementations particulières</t>
  </si>
  <si>
    <t>704 - Travaux</t>
  </si>
  <si>
    <t>6021 - Matières consommables</t>
  </si>
  <si>
    <t>5031 - Titres cotés</t>
  </si>
  <si>
    <t>404 - Fournisseurs d’immobilisations</t>
  </si>
  <si>
    <t>3211 - Matières (ou groupe) C</t>
  </si>
  <si>
    <t>2013 - Frais d’augmentation de capital et d’opérations diverses (fusions, scissions, transformations)</t>
  </si>
  <si>
    <t>10132 - Capital amorti</t>
  </si>
  <si>
    <t>703 - Ventes de produits résiduels</t>
  </si>
  <si>
    <t>602 - Achats stockés - Autres approvisionnements</t>
  </si>
  <si>
    <t>503 - Actions</t>
  </si>
  <si>
    <t>403 - Fournisseurs - Effets à payer</t>
  </si>
  <si>
    <t>321 - Matières consommables</t>
  </si>
  <si>
    <t>20122 - Frais de publicité</t>
  </si>
  <si>
    <t>10131 - Capital non amorti</t>
  </si>
  <si>
    <t>702 - Ventes de produits intermédiaires</t>
  </si>
  <si>
    <t>6017 - Fournitures A, B, C, ...</t>
  </si>
  <si>
    <t>502-2 Actions disponibles pour être attribuées aux employés ou pour la régularisation des cours de bourse</t>
  </si>
  <si>
    <t>4017 - Fournisseurs - Retenues de garantie</t>
  </si>
  <si>
    <t>32 - AUTRES APPROVISIONNEMENTS</t>
  </si>
  <si>
    <t>20121 - Frais de prospection</t>
  </si>
  <si>
    <t>1013 - Capital souscrit - appelé, versé</t>
  </si>
  <si>
    <t>7012 - Produits finis (ou groupe) B</t>
  </si>
  <si>
    <t>6012 - Matières (ou groupe) B</t>
  </si>
  <si>
    <t>502-1 Actions destinées à être attribuées aux employés et affectées à des plans déterminés</t>
  </si>
  <si>
    <t>4011 - Fournisseurs - Achats de biens et prestations de services</t>
  </si>
  <si>
    <t>317 - Fournitures A, B, C, ...</t>
  </si>
  <si>
    <t>2012 - Frais de premier établissement</t>
  </si>
  <si>
    <t>1012 - Capital souscrit - appelé, non versé</t>
  </si>
  <si>
    <t>7011 - Produits finis (ou groupe) A</t>
  </si>
  <si>
    <t>6011 - Matières (ou groupe) A</t>
  </si>
  <si>
    <t>502 - Actions propres</t>
  </si>
  <si>
    <t>401 - Fournisseurs</t>
  </si>
  <si>
    <t>312 - Matières (ou groupe) B</t>
  </si>
  <si>
    <t>2011 - Frais de constitution</t>
  </si>
  <si>
    <t>1011 - Capital souscrit - non appelé</t>
  </si>
  <si>
    <t>701 - Ventes de produits finis</t>
  </si>
  <si>
    <t>601 - Achats stockés - Matières premières (et fournitures)</t>
  </si>
  <si>
    <t>501 - Parts dans des entreprises liées</t>
  </si>
  <si>
    <t>400 - Fournisseurs et Comptes rattachés</t>
  </si>
  <si>
    <t>311 - Matières (ou groupe) A</t>
  </si>
  <si>
    <t>201 - Frais d’établissement</t>
  </si>
  <si>
    <t>101 - Capital</t>
  </si>
  <si>
    <t>70 - VENTES DE PRODUITS FABRIQUES, PRESTATIONS DE SERVICES, MARCHANDISES</t>
  </si>
  <si>
    <t>60 - ACHATS (sauf 603)</t>
  </si>
  <si>
    <t>50 - VALEURS MOBILIERES DE PLACEMENT</t>
  </si>
  <si>
    <t>40 - FOURNISSEURS ET COMPTES RATTACHES</t>
  </si>
  <si>
    <t>31 - MATIERES PREMIERES (ET FOURNITURES)</t>
  </si>
  <si>
    <t>20 - IMMOBILISATIONS INCORPORELLES</t>
  </si>
  <si>
    <t>100 - CAPITAL souscrit</t>
  </si>
  <si>
    <t>Source : http://www.comptanat.fr/pcg/liste.htm</t>
  </si>
  <si>
    <t>CLASSE 7 : COMPTES DE PRODUITS</t>
  </si>
  <si>
    <t>CLASSE 6 : COMPTES DE CHARGES</t>
  </si>
  <si>
    <t>CLASSE 5 : COMPTES FINANCIERS</t>
  </si>
  <si>
    <t>CLASSE 4 : COMPTES DE TIERS</t>
  </si>
  <si>
    <t>CLASSE 3 : COMPTES DE STOCKS ET EN-COURS</t>
  </si>
  <si>
    <t>CLASSE 2 : COMPTES D’IMMOBILISATIONS</t>
  </si>
  <si>
    <t>CLASSE 1 : COMPTES DE CAPITAUX</t>
  </si>
  <si>
    <t>voir dans valeur de départ</t>
  </si>
  <si>
    <t>Les 2 valeurs = identiques</t>
  </si>
  <si>
    <t xml:space="preserve">libellé </t>
  </si>
  <si>
    <t xml:space="preserve">fournisseur </t>
  </si>
  <si>
    <t xml:space="preserve">TVA </t>
  </si>
  <si>
    <t xml:space="preserve">Achats </t>
  </si>
  <si>
    <t>à récup.</t>
  </si>
  <si>
    <t>à récup</t>
  </si>
  <si>
    <t xml:space="preserve">montant crédité </t>
  </si>
  <si>
    <t xml:space="preserve">montant débité </t>
  </si>
  <si>
    <t>N° du compte crédité</t>
  </si>
  <si>
    <t>N° du compte débité</t>
  </si>
  <si>
    <t>N° de l'article</t>
  </si>
  <si>
    <t>journal des ACHATS  du mois</t>
  </si>
  <si>
    <t xml:space="preserve">client </t>
  </si>
  <si>
    <t>(-) 66/70</t>
  </si>
  <si>
    <t>Perte de l'exercice avant impôts</t>
  </si>
  <si>
    <t>ou</t>
  </si>
  <si>
    <t>(+) 70/66</t>
  </si>
  <si>
    <t>IX. Bénéfice de l'exercice avant impôts</t>
  </si>
  <si>
    <t>(-) 669</t>
  </si>
  <si>
    <t>   F. Charg exceptionn portées à l’act au titre de frais d restructur</t>
  </si>
  <si>
    <t>664/8</t>
  </si>
  <si>
    <r>
      <t xml:space="preserve">   E. Autres charges exceptionnelles </t>
    </r>
    <r>
      <rPr>
        <sz val="7.5"/>
        <color indexed="8"/>
        <rFont val="Calibri"/>
        <family val="2"/>
      </rPr>
      <t>(ann. XIV, B)</t>
    </r>
  </si>
  <si>
    <t>   D. Moins-values sur réalisation d'actifs immobilisés</t>
  </si>
  <si>
    <t>   C. Provis pour risq et charg except (dot +, utilis -)</t>
  </si>
  <si>
    <t>   B. Réductions de valeur sur immobilisations financières</t>
  </si>
  <si>
    <t>   A. Amortiss et réduct d val exception s/ frais d'établ, immobilis incorp &amp; corp</t>
  </si>
  <si>
    <t>(-) 66</t>
  </si>
  <si>
    <t>VIII. Charges exceptionnelles</t>
  </si>
  <si>
    <t>-</t>
  </si>
  <si>
    <t>764/9</t>
  </si>
  <si>
    <r>
      <t xml:space="preserve">   E. Autres produits exceptionnels </t>
    </r>
    <r>
      <rPr>
        <sz val="7.5"/>
        <color indexed="8"/>
        <rFont val="Calibri"/>
        <family val="2"/>
      </rPr>
      <t>(ann. XIV, A)</t>
    </r>
  </si>
  <si>
    <t>   D. Plus-values sur réalisation d'actifs immobilisés</t>
  </si>
  <si>
    <t>   C. Reprises de provisions pour risques et charges exceptionnels</t>
  </si>
  <si>
    <t>   B. Reprises de réduct de val sur immobilis financières</t>
  </si>
  <si>
    <t>   A. Reprises d'amortiss &amp; de réduct de val s/ immobil incorpor et corpor</t>
  </si>
  <si>
    <t>VII. Produits exceptionnels</t>
  </si>
  <si>
    <t>+</t>
  </si>
  <si>
    <t>(-) 65/70</t>
  </si>
  <si>
    <t>Perte courante avant impôts</t>
  </si>
  <si>
    <t>(+) 70/65</t>
  </si>
  <si>
    <t>VI. Bénéfice courant avant impôts</t>
  </si>
  <si>
    <t>652/9</t>
  </si>
  <si>
    <r>
      <t>   C. Autres charges financières</t>
    </r>
    <r>
      <rPr>
        <sz val="7.5"/>
        <color indexed="8"/>
        <rFont val="Calibri"/>
        <family val="2"/>
      </rPr>
      <t xml:space="preserve"> (ann. XIII, E)</t>
    </r>
  </si>
  <si>
    <r>
      <t xml:space="preserve">   B. Réd d val s/ act circul autres q ceux visés sub. II. E. </t>
    </r>
    <r>
      <rPr>
        <sz val="7.5"/>
        <color indexed="8"/>
        <rFont val="Calibri"/>
        <family val="2"/>
      </rPr>
      <t>(dotat +, repris -) (ann. XIII, D)</t>
    </r>
  </si>
  <si>
    <r>
      <t>   A. Charges des dettes</t>
    </r>
    <r>
      <rPr>
        <sz val="7.5"/>
        <color indexed="8"/>
        <rFont val="Calibri"/>
        <family val="2"/>
      </rPr>
      <t xml:space="preserve"> (ann. XIII, B et C)</t>
    </r>
  </si>
  <si>
    <t>(-) 65</t>
  </si>
  <si>
    <t>V. Charges financières</t>
  </si>
  <si>
    <t>752/9</t>
  </si>
  <si>
    <r>
      <t>   C. Autres produits financiers</t>
    </r>
    <r>
      <rPr>
        <sz val="7.5"/>
        <color indexed="8"/>
        <rFont val="Calibri"/>
        <family val="2"/>
      </rPr>
      <t xml:space="preserve"> (ann. XIII, A)</t>
    </r>
  </si>
  <si>
    <t>   B. Produits des actifs circulants</t>
  </si>
  <si>
    <t>   A. Produits des immobilisations financières</t>
  </si>
  <si>
    <t>IV. Produits financiers</t>
  </si>
  <si>
    <t>(-) 64/70</t>
  </si>
  <si>
    <t>Perte d'exploitation</t>
  </si>
  <si>
    <t>(+) 70/64</t>
  </si>
  <si>
    <t>III. Bénéfice d'exploitation</t>
  </si>
  <si>
    <t>(-) 649</t>
  </si>
  <si>
    <t>   H. Charges d'exploitation portées à l'actif au titre de frais de restructuration</t>
  </si>
  <si>
    <t>640/8</t>
  </si>
  <si>
    <r>
      <t>   G. Autres charges d'exploitation</t>
    </r>
    <r>
      <rPr>
        <sz val="7.5"/>
        <color indexed="8"/>
        <rFont val="Calibri"/>
        <family val="2"/>
      </rPr>
      <t xml:space="preserve"> (ann. XII, F)</t>
    </r>
  </si>
  <si>
    <t>635/7</t>
  </si>
  <si>
    <r>
      <t>   F. Provisions pour risques et charges (dotations +, utilisat et repris -)</t>
    </r>
    <r>
      <rPr>
        <sz val="7.5"/>
        <color indexed="8"/>
        <rFont val="Calibri"/>
        <family val="2"/>
      </rPr>
      <t xml:space="preserve"> (ann. XII, C3 et E)</t>
    </r>
  </si>
  <si>
    <t>631/4</t>
  </si>
  <si>
    <r>
      <t xml:space="preserve">   E. Réd d val s/ stock, comm. en crs d'exéc &amp; créanc comm. </t>
    </r>
    <r>
      <rPr>
        <sz val="7.5"/>
        <color indexed="8"/>
        <rFont val="Calibri"/>
        <family val="2"/>
      </rPr>
      <t>(dotations +, reprises -) (ann. XII, D)</t>
    </r>
  </si>
  <si>
    <t>   D. Amortiss &amp; réduct d val sur frais d'établiss, immobilis incorp &amp; corp</t>
  </si>
  <si>
    <r>
      <t>   C. Rémunérations, charges sociales et pensions</t>
    </r>
    <r>
      <rPr>
        <sz val="7.5"/>
        <color indexed="8"/>
        <rFont val="Calibri"/>
        <family val="2"/>
      </rPr>
      <t xml:space="preserve"> (ann. XII, C2)</t>
    </r>
  </si>
  <si>
    <t>   B. Services et biens divers</t>
  </si>
  <si>
    <r>
      <t xml:space="preserve">      2. Variation des stocks </t>
    </r>
    <r>
      <rPr>
        <sz val="7.5"/>
        <color indexed="8"/>
        <rFont val="Calibri"/>
        <family val="2"/>
      </rPr>
      <t>(augmentation -, réduction +)</t>
    </r>
  </si>
  <si>
    <t>600/8</t>
  </si>
  <si>
    <t>      1. Achats</t>
  </si>
  <si>
    <t>marchand fournisseurs</t>
  </si>
  <si>
    <t>   A. Approvisionnements et marchandises</t>
  </si>
  <si>
    <t>(-) 60/64</t>
  </si>
  <si>
    <t>II. Coût des ventes et des prestations</t>
  </si>
  <si>
    <r>
      <t xml:space="preserve">   D. Autres produits d'exploitation </t>
    </r>
    <r>
      <rPr>
        <sz val="7.5"/>
        <color indexed="8"/>
        <rFont val="Calibri"/>
        <family val="2"/>
      </rPr>
      <t>(ann. XII, B)</t>
    </r>
  </si>
  <si>
    <t>   C. Production immobilisée</t>
  </si>
  <si>
    <r>
      <t xml:space="preserve">   B. Variat des en-cours de fabric., des prod. finis et des comm. en cours d'exécution </t>
    </r>
    <r>
      <rPr>
        <sz val="7.5"/>
        <color indexed="8"/>
        <rFont val="Calibri"/>
        <family val="2"/>
      </rPr>
      <t>(augment +, réduct -)</t>
    </r>
  </si>
  <si>
    <t>marchand aux clients</t>
  </si>
  <si>
    <r>
      <t xml:space="preserve">   A. Chiffre d’affaires </t>
    </r>
    <r>
      <rPr>
        <sz val="7.5"/>
        <color indexed="8"/>
        <rFont val="Calibri"/>
        <family val="2"/>
      </rPr>
      <t>(annexe XII, A)                   (</t>
    </r>
    <r>
      <rPr>
        <sz val="12"/>
        <color indexed="8"/>
        <rFont val="Calibri"/>
        <family val="2"/>
      </rPr>
      <t xml:space="preserve"> HTVA)</t>
    </r>
  </si>
  <si>
    <t>70/74</t>
  </si>
  <si>
    <t>I. Ventes et prestations</t>
  </si>
  <si>
    <t>Résultat (sous forme de liste)</t>
  </si>
  <si>
    <t>TVA %</t>
  </si>
  <si>
    <t xml:space="preserve">Certaines fonctions peuvent déduire la TVA </t>
  </si>
  <si>
    <t>3- Sélectionnez la zone Bal des comptes!B7:B21, données, validation, liste , la formule est :</t>
  </si>
  <si>
    <t>2- Sélectionnez PPCN!$A$1:$G$1 et nommez cette zone Plan2</t>
  </si>
  <si>
    <t>1- Sélectionnez PPCN!$A$1:$A$261 et nommez cette zone Plan1 (via le gestionnaire de noms, ou directement dans la zone au-dessus de la 1° colonne).</t>
  </si>
  <si>
    <t>5ème vérif.Tous les totaux doivent être identiques</t>
  </si>
  <si>
    <t>TVA  sur ventes</t>
  </si>
  <si>
    <t>STOCK</t>
  </si>
  <si>
    <t>Total crédit</t>
  </si>
  <si>
    <t>Numéro</t>
  </si>
  <si>
    <t>c'est ici qu'il faut inscrire les soldes débiteurs (SD) et soldes créditeurs(SC)</t>
  </si>
  <si>
    <t>Balance des comptes</t>
  </si>
  <si>
    <t>10/49</t>
  </si>
  <si>
    <t>TOTAL DU PASSIF</t>
  </si>
  <si>
    <t>492/3</t>
  </si>
  <si>
    <r>
      <t xml:space="preserve">X. Comptes de régularisation </t>
    </r>
    <r>
      <rPr>
        <sz val="11"/>
        <color theme="1"/>
        <rFont val="Times New Roman"/>
        <family val="2"/>
        <scheme val="minor"/>
      </rPr>
      <t>(ann. XI)</t>
    </r>
  </si>
  <si>
    <t>47/48</t>
  </si>
  <si>
    <t>Autres dettes</t>
  </si>
  <si>
    <t>F.</t>
  </si>
  <si>
    <t>454/9</t>
  </si>
  <si>
    <t>Rémunérations et charges sociales</t>
  </si>
  <si>
    <t>2.</t>
  </si>
  <si>
    <t>450/3</t>
  </si>
  <si>
    <t>Impôts</t>
  </si>
  <si>
    <t>1.</t>
  </si>
  <si>
    <t>Dettes fiscales, salariales et sociales</t>
  </si>
  <si>
    <t>E.</t>
  </si>
  <si>
    <t>Acomptes reçus sur commandes</t>
  </si>
  <si>
    <t>D.</t>
  </si>
  <si>
    <t>Effets à payer</t>
  </si>
  <si>
    <t>440/4</t>
  </si>
  <si>
    <t>Dettes commerciales</t>
  </si>
  <si>
    <t>C.</t>
  </si>
  <si>
    <t>Autres emprunts</t>
  </si>
  <si>
    <t>430/8</t>
  </si>
  <si>
    <t>Etablissements de crédit</t>
  </si>
  <si>
    <t>Dettes financières</t>
  </si>
  <si>
    <t>B.</t>
  </si>
  <si>
    <t>Dettes à plus d'un an échéant dans l'année</t>
  </si>
  <si>
    <t>A.</t>
  </si>
  <si>
    <t>42/48</t>
  </si>
  <si>
    <r>
      <t xml:space="preserve">IX. Dettes à un an au plus </t>
    </r>
    <r>
      <rPr>
        <sz val="11"/>
        <color theme="1"/>
        <rFont val="Times New Roman"/>
        <family val="2"/>
        <scheme val="minor"/>
      </rPr>
      <t>(ann. X)</t>
    </r>
  </si>
  <si>
    <t>178/9</t>
  </si>
  <si>
    <t>Vi</t>
  </si>
  <si>
    <t>5.</t>
  </si>
  <si>
    <t>4.</t>
  </si>
  <si>
    <t>Dettes de location-financement et assimilées</t>
  </si>
  <si>
    <t>3.</t>
  </si>
  <si>
    <t>Emprunts obligataires non subordonnés</t>
  </si>
  <si>
    <t>Emprunts subordonnés</t>
  </si>
  <si>
    <t>170/4</t>
  </si>
  <si>
    <r>
      <t>VIII. Dettes à plus d'un an</t>
    </r>
    <r>
      <rPr>
        <sz val="11"/>
        <color theme="1"/>
        <rFont val="Times New Roman"/>
        <family val="2"/>
        <scheme val="minor"/>
      </rPr>
      <t xml:space="preserve"> (ann. X)</t>
    </r>
  </si>
  <si>
    <t>17/49</t>
  </si>
  <si>
    <t>DETTES</t>
  </si>
  <si>
    <t>Impôts différés</t>
  </si>
  <si>
    <t>163/5</t>
  </si>
  <si>
    <t>Autres risques et charges (ann. IX)</t>
  </si>
  <si>
    <t xml:space="preserve">Grosses répartitions et gros entretiens </t>
  </si>
  <si>
    <t>Charges fiscales</t>
  </si>
  <si>
    <t>Pensions et obligations similaires</t>
  </si>
  <si>
    <t>160/5</t>
  </si>
  <si>
    <t>Provisions pour risques et charges</t>
  </si>
  <si>
    <t xml:space="preserve">VIII.     A.  </t>
  </si>
  <si>
    <t>PROVISIONS ET IMPOTS DIFFERES</t>
  </si>
  <si>
    <t>VI. Subsides en capital</t>
  </si>
  <si>
    <t>Perte reportée</t>
  </si>
  <si>
    <t>V. Bénéfice reporté</t>
  </si>
  <si>
    <t>Réserves disponibles</t>
  </si>
  <si>
    <t>Réserves immunisées</t>
  </si>
  <si>
    <t>Autres</t>
  </si>
  <si>
    <t>Pour actions propres</t>
  </si>
  <si>
    <t>Réserves indisponibles</t>
  </si>
  <si>
    <t>Réserve légale</t>
  </si>
  <si>
    <t>IV. Réserves</t>
  </si>
  <si>
    <t>III. Plus values de réévaluation</t>
  </si>
  <si>
    <t>ll. Primes d'émission</t>
  </si>
  <si>
    <t>Capital non appelé</t>
  </si>
  <si>
    <t>Capital souscrit</t>
  </si>
  <si>
    <r>
      <t>l. Capital</t>
    </r>
    <r>
      <rPr>
        <sz val="11"/>
        <color theme="1"/>
        <rFont val="Times New Roman"/>
        <family val="2"/>
        <scheme val="minor"/>
      </rPr>
      <t xml:space="preserve"> (ann. VIII)</t>
    </r>
  </si>
  <si>
    <t>10/15</t>
  </si>
  <si>
    <t>Capitaux Propres</t>
  </si>
  <si>
    <t>Final</t>
  </si>
  <si>
    <t>Initial</t>
  </si>
  <si>
    <t>Codes</t>
  </si>
  <si>
    <t>PASSIF</t>
  </si>
  <si>
    <t>Initial-final</t>
  </si>
  <si>
    <t>20/58</t>
  </si>
  <si>
    <t>TOTAL DE L'ACTIF</t>
  </si>
  <si>
    <t>490/1</t>
  </si>
  <si>
    <t>X. Comptes de régularisation (ann. VIII)</t>
  </si>
  <si>
    <t>54/58</t>
  </si>
  <si>
    <t>Banque + banque poste + caisse      OK</t>
  </si>
  <si>
    <t>IX. Valeurs disponibles</t>
  </si>
  <si>
    <t>51/53</t>
  </si>
  <si>
    <t>Autres placements</t>
  </si>
  <si>
    <t xml:space="preserve">Actions propres </t>
  </si>
  <si>
    <t>50/53</t>
  </si>
  <si>
    <t>VIII. Placements de trésorerie (ann. V et Vl)</t>
  </si>
  <si>
    <r>
      <t xml:space="preserve">TVA achats                 </t>
    </r>
    <r>
      <rPr>
        <b/>
        <sz val="11"/>
        <color rgb="FFFF0000"/>
        <rFont val="Times New Roman"/>
        <family val="2"/>
        <scheme val="minor"/>
      </rPr>
      <t xml:space="preserve">   OK</t>
    </r>
  </si>
  <si>
    <t>Autres créances</t>
  </si>
  <si>
    <t>Créances commerciales</t>
  </si>
  <si>
    <t>40/41</t>
  </si>
  <si>
    <t>VII. Créances à un an au plus</t>
  </si>
  <si>
    <t>Commandes en cours d'éxécution</t>
  </si>
  <si>
    <t>Acomptes versés</t>
  </si>
  <si>
    <t>6.</t>
  </si>
  <si>
    <t>Immeubles destinés à la vente</t>
  </si>
  <si>
    <t>Produits finis</t>
  </si>
  <si>
    <t>En-cours de fabrication</t>
  </si>
  <si>
    <t>30/31</t>
  </si>
  <si>
    <t>Approvisionnements</t>
  </si>
  <si>
    <t>30/36</t>
  </si>
  <si>
    <t>VI. Stocks et commandes en cours d'éxécution</t>
  </si>
  <si>
    <t>V. Créances à plus d'un an</t>
  </si>
  <si>
    <t>29/58</t>
  </si>
  <si>
    <t>somme de ( V + VI + VII + VIII + IX + X)</t>
  </si>
  <si>
    <t>ACTIFS CIRCULANTS</t>
  </si>
  <si>
    <t>285/8</t>
  </si>
  <si>
    <t>Créances et cautionnements en numéraire</t>
  </si>
  <si>
    <t>Actions et parts</t>
  </si>
  <si>
    <t>284/8</t>
  </si>
  <si>
    <t>Autres immobilisations financières</t>
  </si>
  <si>
    <t>Créances</t>
  </si>
  <si>
    <t>Participations</t>
  </si>
  <si>
    <t>282/3</t>
  </si>
  <si>
    <t>Autres entreprises avec lesquelles il existe un lien de participation</t>
  </si>
  <si>
    <r>
      <rPr>
        <b/>
        <sz val="11"/>
        <color rgb="FFFF0000"/>
        <rFont val="Times New Roman"/>
        <family val="2"/>
        <scheme val="minor"/>
      </rPr>
      <t>xxxxx</t>
    </r>
    <r>
      <rPr>
        <b/>
        <sz val="11"/>
        <color theme="1"/>
        <rFont val="Times New Roman"/>
        <family val="2"/>
        <scheme val="minor"/>
      </rPr>
      <t xml:space="preserve">   CLIENTS   </t>
    </r>
    <r>
      <rPr>
        <b/>
        <sz val="11"/>
        <color rgb="FFFF0000"/>
        <rFont val="Times New Roman"/>
        <family val="2"/>
        <scheme val="minor"/>
      </rPr>
      <t xml:space="preserve"> Vi</t>
    </r>
  </si>
  <si>
    <t>28/01</t>
  </si>
  <si>
    <t>Entreprises liées</t>
  </si>
  <si>
    <r>
      <rPr>
        <b/>
        <sz val="11"/>
        <color theme="1"/>
        <rFont val="Times New Roman"/>
        <family val="2"/>
        <scheme val="minor"/>
      </rPr>
      <t xml:space="preserve">IV. Immobilisations financières </t>
    </r>
    <r>
      <rPr>
        <sz val="11"/>
        <color theme="1"/>
        <rFont val="Times New Roman"/>
        <family val="2"/>
        <scheme val="minor"/>
      </rPr>
      <t>(ann. IV et V)</t>
    </r>
  </si>
  <si>
    <t>Immobilisations en cours et acomptes versés</t>
  </si>
  <si>
    <t>Autres immobilisations corporelles</t>
  </si>
  <si>
    <t>Location-financement et droits similaires</t>
  </si>
  <si>
    <t>Mobilier et matériel roulant</t>
  </si>
  <si>
    <t>Installations, machines et outillage</t>
  </si>
  <si>
    <t>Terrains et constructions</t>
  </si>
  <si>
    <t>22/27</t>
  </si>
  <si>
    <r>
      <rPr>
        <b/>
        <sz val="11"/>
        <color theme="1"/>
        <rFont val="Times New Roman"/>
        <family val="2"/>
        <scheme val="minor"/>
      </rPr>
      <t>lll. Immobilisations corporelles</t>
    </r>
    <r>
      <rPr>
        <sz val="11"/>
        <color theme="1"/>
        <rFont val="Times New Roman"/>
        <family val="2"/>
        <scheme val="minor"/>
      </rPr>
      <t xml:space="preserve"> (ann.lll)</t>
    </r>
  </si>
  <si>
    <r>
      <rPr>
        <b/>
        <sz val="11"/>
        <color theme="1"/>
        <rFont val="Times New Roman"/>
        <family val="2"/>
        <scheme val="minor"/>
      </rPr>
      <t xml:space="preserve">ll. Immobilisations incorporelles </t>
    </r>
    <r>
      <rPr>
        <sz val="11"/>
        <color theme="1"/>
        <rFont val="Times New Roman"/>
        <family val="2"/>
        <scheme val="minor"/>
      </rPr>
      <t>(ann. ll)</t>
    </r>
  </si>
  <si>
    <r>
      <rPr>
        <b/>
        <sz val="11"/>
        <color theme="1"/>
        <rFont val="Times New Roman"/>
        <family val="2"/>
        <scheme val="minor"/>
      </rPr>
      <t xml:space="preserve">l. Frais d'établissement </t>
    </r>
    <r>
      <rPr>
        <sz val="11"/>
        <color theme="1"/>
        <rFont val="Times New Roman"/>
        <family val="2"/>
        <scheme val="minor"/>
      </rPr>
      <t xml:space="preserve">(annexe l) </t>
    </r>
  </si>
  <si>
    <t>20/28</t>
  </si>
  <si>
    <t>somme de (I + II + III + IV)</t>
  </si>
  <si>
    <t>ACTIFS IMMOBILISES</t>
  </si>
  <si>
    <t>ACTIF</t>
  </si>
  <si>
    <t xml:space="preserve"> 1. BILAN APRES REPARTITION</t>
  </si>
  <si>
    <t>Total du MOIS</t>
  </si>
  <si>
    <t>Vérif.</t>
  </si>
  <si>
    <t>Banq</t>
  </si>
  <si>
    <t>centralisation</t>
  </si>
  <si>
    <t xml:space="preserve">Libellé </t>
  </si>
  <si>
    <t>de mars</t>
  </si>
  <si>
    <t>différ Clients - Fournisseurs</t>
  </si>
  <si>
    <t>Bq reçoit  des clients du mois</t>
  </si>
  <si>
    <t xml:space="preserve">Bq paie lesfournis. du mois </t>
  </si>
  <si>
    <t>Bq clients©</t>
  </si>
  <si>
    <t>Bq fourn(D)</t>
  </si>
  <si>
    <t>Achats</t>
  </si>
  <si>
    <t>Fourn</t>
  </si>
  <si>
    <t xml:space="preserve"> dû   à Verser </t>
  </si>
  <si>
    <t>Total TVA</t>
  </si>
  <si>
    <t>Achats HTVA</t>
  </si>
  <si>
    <t>Fact fourn</t>
  </si>
  <si>
    <t>Fournisseurs du MOIS</t>
  </si>
  <si>
    <t xml:space="preserve">à récup. </t>
  </si>
  <si>
    <t xml:space="preserve">Total TVA </t>
  </si>
  <si>
    <t>Ventes HTVA</t>
  </si>
  <si>
    <t>Clients du MOIS</t>
  </si>
  <si>
    <t>Journal Centralisateur du mois</t>
  </si>
  <si>
    <t xml:space="preserve">payement de </t>
  </si>
  <si>
    <t xml:space="preserve">libellé  </t>
  </si>
  <si>
    <t xml:space="preserve"> Fournisseur  </t>
  </si>
  <si>
    <t>extrait N°</t>
  </si>
  <si>
    <t xml:space="preserve">Banque </t>
  </si>
  <si>
    <t xml:space="preserve">Banque  </t>
  </si>
  <si>
    <t>paye</t>
  </si>
  <si>
    <t>MARS</t>
  </si>
  <si>
    <t xml:space="preserve">Banq (C-) </t>
  </si>
  <si>
    <t>Fourn(D-)</t>
  </si>
  <si>
    <t xml:space="preserve">Journal FINANCIER DU MOIS </t>
  </si>
  <si>
    <t>Total banque du mois</t>
  </si>
  <si>
    <t>reçu</t>
  </si>
  <si>
    <t xml:space="preserve">Client </t>
  </si>
  <si>
    <t xml:space="preserve"> Banque</t>
  </si>
  <si>
    <t>libellé Client</t>
  </si>
  <si>
    <t>crédit</t>
  </si>
  <si>
    <t>Débit</t>
  </si>
  <si>
    <t>débit</t>
  </si>
  <si>
    <t>DU MOIS UNIQUEMENT</t>
  </si>
  <si>
    <t>compte</t>
  </si>
  <si>
    <t>l'article</t>
  </si>
  <si>
    <t>N° du</t>
  </si>
  <si>
    <t>N° de</t>
  </si>
  <si>
    <t>Clients (C-)</t>
  </si>
  <si>
    <t>Banq (D+)</t>
  </si>
  <si>
    <t>Journal FINANCIER  du mois</t>
  </si>
  <si>
    <t>240 - Mobilier</t>
  </si>
  <si>
    <t>241 - Matériel roulant</t>
  </si>
  <si>
    <t>4117 - Accompte versée</t>
  </si>
  <si>
    <t>400 - Client</t>
  </si>
  <si>
    <t>440 - fournisseur</t>
  </si>
  <si>
    <t>604 - achat marchandises</t>
  </si>
  <si>
    <t>61210 - Belgacom</t>
  </si>
  <si>
    <t>6140 - publicité</t>
  </si>
  <si>
    <t>6122 - Livres</t>
  </si>
  <si>
    <t>700 - ventes de marchandises</t>
  </si>
  <si>
    <t>7002 - vente à l'exportation</t>
  </si>
  <si>
    <t>360 - Stock</t>
  </si>
  <si>
    <t>231 - Machines</t>
  </si>
  <si>
    <t>237 - Outillages</t>
  </si>
  <si>
    <t>170 - emprunt</t>
  </si>
  <si>
    <t>550 - Banque</t>
  </si>
  <si>
    <t>560 - Banque de la poste</t>
  </si>
  <si>
    <t>570 - Caisse</t>
  </si>
  <si>
    <t>7001 - Vente intracommunautaire</t>
  </si>
  <si>
    <t>486 - Emballages</t>
  </si>
  <si>
    <t>451030 - TVA DUE entretien  immobilier</t>
  </si>
  <si>
    <t>4110 - TVA à récup.</t>
  </si>
  <si>
    <t>4114 - TVA à Récupérer pour note de crédit sur Achats</t>
  </si>
  <si>
    <t>4111 -T.V.A. à payer: sur opérations intracommunautaires</t>
  </si>
  <si>
    <t>451020 - TVA DUE  intracommunautaire</t>
  </si>
  <si>
    <t>4513 -T.V.A. à payer: sur opérations cocontractant</t>
  </si>
  <si>
    <t>4514 - TVA DUE pour note de crédit sur ventes</t>
  </si>
  <si>
    <t>3- Sélectionnez la zone Bal des comptes!B7:B21, aller dans : DONNEES : Validation des données : choisir : liste  dans formule : inscrirre  la formule suivante :</t>
  </si>
  <si>
    <t>614 - Publicité</t>
  </si>
  <si>
    <t>6122 - Intracomm. Livres</t>
  </si>
  <si>
    <t>6110 - Entretien -réparation</t>
  </si>
  <si>
    <t>611 - cocontractant</t>
  </si>
  <si>
    <t>7051 - Prestations services intracomm.</t>
  </si>
  <si>
    <t>7052 - Prestations services exportation</t>
  </si>
  <si>
    <t>7050 - prestation de service BE</t>
  </si>
  <si>
    <t>Plan10 est défini par la 1er colonne uniquement du fichier PCMN ( et doit aller jusqu'a la dernière ligne utilisée de la feuille PCMN)</t>
  </si>
  <si>
    <t>Plan20 est défini par la 1er ligne du fichier PCMN</t>
  </si>
  <si>
    <t>"=SI(NB.SI(Plan20;B7)=0;Plan20;DECALER(Plan10;1;EQUIV(B7;Plan20;0)-1;NBVAL(DECALER(Plan10;;EQUIV(B7;Plan20;0)-1))-1))"</t>
  </si>
  <si>
    <t>RECOMMANDATION : pour pouvoir changer dans données : validation des données : source  il faut utiliser la touche F2</t>
  </si>
  <si>
    <t>TVA DUE</t>
  </si>
  <si>
    <t xml:space="preserve">4510 - T.V.A. à payer </t>
  </si>
  <si>
    <t>4512 - TVA due sur note de crédit</t>
  </si>
  <si>
    <t>TVA (NC)</t>
  </si>
  <si>
    <t>tva marchand</t>
  </si>
  <si>
    <t>emballage</t>
  </si>
  <si>
    <t>TVAC(NC)</t>
  </si>
  <si>
    <t>Extrait - BANQUE Clients</t>
  </si>
  <si>
    <t>Num Fourn</t>
  </si>
  <si>
    <t>Nom Fourn</t>
  </si>
  <si>
    <t>"=SI(ARRONDI(H4;2)=ARRONDI(A4+E4;2);H4;"0")</t>
  </si>
  <si>
    <t>TVA sur achats</t>
  </si>
  <si>
    <t>Val. Init</t>
  </si>
  <si>
    <t>Prendre uniquement la 1er rangée (mais  voir ou s'arrete la rangée la plus longue)</t>
  </si>
  <si>
    <t>prendre uniquement la 1er rangée de toutes les collones utilisées</t>
  </si>
  <si>
    <t>cellule P</t>
  </si>
  <si>
    <t>cellule W</t>
  </si>
  <si>
    <t>cellule Y</t>
  </si>
  <si>
    <r>
      <t xml:space="preserve">Tous les fournisseurs  600     du MOIS </t>
    </r>
    <r>
      <rPr>
        <b/>
        <u/>
        <sz val="14"/>
        <rFont val="Times New Roman"/>
        <family val="1"/>
        <scheme val="minor"/>
      </rPr>
      <t>uniquement</t>
    </r>
  </si>
  <si>
    <t>différence entre Bq clients te Bq fournisseurs</t>
  </si>
  <si>
    <t>Bq fourn</t>
  </si>
  <si>
    <t>Bq clients</t>
  </si>
  <si>
    <t>Fournisseurs (C-) dans  :</t>
  </si>
  <si>
    <t>Clients (C-)  dans :</t>
  </si>
  <si>
    <t>Total fourn. :  Gr liv ACT-PAS</t>
  </si>
  <si>
    <t>Total clients  :  Gr liv ACT-PAS</t>
  </si>
  <si>
    <t xml:space="preserve"> total CLIENTS Gr liv ACT-PAS</t>
  </si>
  <si>
    <t xml:space="preserve"> total FOURN. Gr liv ACT-PAS</t>
  </si>
  <si>
    <t>TVA Récup.</t>
  </si>
  <si>
    <t>Entret. Immo.</t>
  </si>
  <si>
    <t>Embal Av tva</t>
  </si>
  <si>
    <t>tva %  à  déduit</t>
  </si>
  <si>
    <t>Inscrire ici - Extrait - Banque  Fournisseurs</t>
  </si>
  <si>
    <t>ACHATS                  600</t>
  </si>
  <si>
    <t>après tva</t>
  </si>
  <si>
    <t>effacer ICI seulement</t>
  </si>
  <si>
    <t>Effacer ici</t>
  </si>
  <si>
    <t>"=SI(ARRONDI(H4;2)=ARRONDI(A4+E4;2);H4;AC5)</t>
  </si>
  <si>
    <t>différence entre Bq client et Bq fourn</t>
  </si>
  <si>
    <t>doit être identique à :</t>
  </si>
  <si>
    <t>F0001</t>
  </si>
  <si>
    <t>Feromat</t>
  </si>
  <si>
    <t>F0002</t>
  </si>
  <si>
    <t>Durand</t>
  </si>
  <si>
    <t>F0003</t>
  </si>
  <si>
    <t>Pierre</t>
  </si>
  <si>
    <t>F812</t>
  </si>
  <si>
    <t>si rien à réduire = 0%</t>
  </si>
  <si>
    <t>F441</t>
  </si>
  <si>
    <t>C0001</t>
  </si>
  <si>
    <t>Nicolas</t>
  </si>
  <si>
    <t>C0002</t>
  </si>
  <si>
    <t>Vienneau</t>
  </si>
  <si>
    <t>C0003</t>
  </si>
  <si>
    <t>Jacques</t>
  </si>
  <si>
    <t>F71</t>
  </si>
  <si>
    <t>F72</t>
  </si>
  <si>
    <t>montant(-)</t>
  </si>
  <si>
    <t>26/1</t>
  </si>
  <si>
    <t>27/1</t>
  </si>
  <si>
    <t>Facture- Clients</t>
  </si>
  <si>
    <t>Banq - Clients</t>
  </si>
  <si>
    <t>Banq -Fourn.</t>
  </si>
  <si>
    <t>Facture - Fourn.</t>
  </si>
  <si>
    <t>ventes HTVA</t>
  </si>
  <si>
    <t>(Bq client - Bq fourn.) DANS Gr liv ACT-PAS</t>
  </si>
  <si>
    <t>SI Différence actif - passif = 0   OK</t>
  </si>
  <si>
    <t>tout TVAC</t>
  </si>
  <si>
    <t>viens fourn (D-)</t>
  </si>
  <si>
    <t>viens  clients (C-)</t>
  </si>
  <si>
    <t>HTVA (D+)</t>
  </si>
  <si>
    <t>Tout TVAC</t>
  </si>
  <si>
    <t>Fournis 1</t>
  </si>
  <si>
    <t>Bq post</t>
  </si>
  <si>
    <t>(I+II+III+IV)</t>
  </si>
  <si>
    <t>N° PCMN</t>
  </si>
  <si>
    <t xml:space="preserve">Vente </t>
  </si>
  <si>
    <t>Taxe</t>
  </si>
  <si>
    <t>Client</t>
  </si>
  <si>
    <t>Montant Débit</t>
  </si>
  <si>
    <t>Montant crédit</t>
  </si>
  <si>
    <t xml:space="preserve">HTVA </t>
  </si>
  <si>
    <t xml:space="preserve">Journal des VENTES du MOIS de : </t>
  </si>
  <si>
    <t>CLIENTS    600</t>
  </si>
  <si>
    <t>Tot</t>
  </si>
  <si>
    <t>CODE PCMN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</si>
</sst>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d/m;@"/>
    <numFmt numFmtId="165" formatCode="d/m/yy;@"/>
    <numFmt numFmtId="166" formatCode="_ * #,##0.00_ ;_ * \-#,##0.00_ ;_ * &quot;-&quot;??_ ;_ @_ "/>
    <numFmt numFmtId="167" formatCode="#,##0.00_ ;\-#,##0.00\ "/>
  </numFmts>
  <fonts count="77">
    <font>
      <sz val="11"/>
      <color theme="1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b/>
      <sz val="11"/>
      <color theme="1"/>
      <name val="Times New Roman"/>
      <family val="1"/>
      <scheme val="minor"/>
    </font>
    <font>
      <sz val="10"/>
      <color theme="1"/>
      <name val="Times New Roman"/>
      <family val="2"/>
      <scheme val="minor"/>
    </font>
    <font>
      <b/>
      <sz val="10"/>
      <color rgb="FFFF0000"/>
      <name val="Times New Roman"/>
      <family val="2"/>
      <scheme val="minor"/>
    </font>
    <font>
      <b/>
      <sz val="14"/>
      <color rgb="FFFF0000"/>
      <name val="Times New Roman"/>
      <family val="2"/>
      <scheme val="minor"/>
    </font>
    <font>
      <sz val="10"/>
      <name val="Times New Roman"/>
      <family val="2"/>
      <scheme val="minor"/>
    </font>
    <font>
      <b/>
      <sz val="14"/>
      <name val="Times New Roman"/>
      <family val="2"/>
      <scheme val="minor"/>
    </font>
    <font>
      <b/>
      <sz val="12"/>
      <color theme="1"/>
      <name val="Times New Roman"/>
      <family val="2"/>
      <scheme val="minor"/>
    </font>
    <font>
      <sz val="12"/>
      <name val="Times New Roman"/>
      <family val="2"/>
      <scheme val="minor"/>
    </font>
    <font>
      <sz val="12"/>
      <color theme="1"/>
      <name val="Times New Roman"/>
      <family val="2"/>
      <scheme val="minor"/>
    </font>
    <font>
      <sz val="10"/>
      <color rgb="FFFF0000"/>
      <name val="Times New Roman"/>
      <family val="2"/>
      <scheme val="minor"/>
    </font>
    <font>
      <b/>
      <sz val="10"/>
      <color rgb="FFFFFF00"/>
      <name val="Times New Roman"/>
      <family val="2"/>
      <scheme val="minor"/>
    </font>
    <font>
      <b/>
      <sz val="10"/>
      <color theme="1"/>
      <name val="Times New Roman"/>
      <family val="2"/>
      <scheme val="minor"/>
    </font>
    <font>
      <b/>
      <sz val="12"/>
      <color rgb="FFFF0000"/>
      <name val="Times New Roman"/>
      <family val="2"/>
      <scheme val="minor"/>
    </font>
    <font>
      <b/>
      <sz val="11"/>
      <color rgb="FFFF0000"/>
      <name val="Times New Roman"/>
      <family val="2"/>
      <scheme val="minor"/>
    </font>
    <font>
      <b/>
      <sz val="10"/>
      <name val="Times New Roman"/>
      <family val="2"/>
      <scheme val="minor"/>
    </font>
    <font>
      <sz val="11"/>
      <name val="Times New Roman"/>
      <family val="2"/>
      <scheme val="minor"/>
    </font>
    <font>
      <b/>
      <sz val="12"/>
      <color theme="1"/>
      <name val="Times New Roman"/>
      <family val="1"/>
      <scheme val="minor"/>
    </font>
    <font>
      <sz val="14"/>
      <color theme="1"/>
      <name val="Times New Roman"/>
      <family val="2"/>
      <scheme val="minor"/>
    </font>
    <font>
      <sz val="14"/>
      <color theme="1"/>
      <name val="Times New Roman"/>
      <family val="1"/>
      <scheme val="minor"/>
    </font>
    <font>
      <b/>
      <sz val="14"/>
      <color theme="1"/>
      <name val="Times New Roman"/>
      <family val="1"/>
      <scheme val="minor"/>
    </font>
    <font>
      <b/>
      <sz val="10"/>
      <color theme="1"/>
      <name val="Times New Roman"/>
      <family val="1"/>
      <scheme val="minor"/>
    </font>
    <font>
      <sz val="16"/>
      <color theme="1"/>
      <name val="Times New Roman"/>
      <family val="2"/>
      <scheme val="minor"/>
    </font>
    <font>
      <b/>
      <sz val="14"/>
      <color rgb="FFFFFF00"/>
      <name val="Times New Roman"/>
      <family val="2"/>
      <scheme val="minor"/>
    </font>
    <font>
      <b/>
      <sz val="10"/>
      <color rgb="FF323232"/>
      <name val="Tahoma"/>
      <family val="2"/>
    </font>
    <font>
      <sz val="10"/>
      <name val="Tahoma"/>
      <family val="2"/>
    </font>
    <font>
      <sz val="11"/>
      <color theme="1"/>
      <name val="Times New Roman"/>
      <family val="2"/>
      <scheme val="minor"/>
    </font>
    <font>
      <b/>
      <u/>
      <sz val="12"/>
      <color rgb="FFFF0000"/>
      <name val="Times New Roman"/>
      <family val="2"/>
      <scheme val="minor"/>
    </font>
    <font>
      <b/>
      <sz val="11"/>
      <name val="Times New Roman"/>
      <family val="2"/>
      <scheme val="minor"/>
    </font>
    <font>
      <b/>
      <sz val="14"/>
      <color theme="1"/>
      <name val="Times New Roman"/>
      <family val="2"/>
      <scheme val="minor"/>
    </font>
    <font>
      <b/>
      <sz val="12"/>
      <name val="Times New Roman"/>
      <family val="2"/>
      <scheme val="minor"/>
    </font>
    <font>
      <b/>
      <u val="singleAccounting"/>
      <sz val="11"/>
      <color theme="1"/>
      <name val="Times New Roman"/>
      <family val="2"/>
      <scheme val="minor"/>
    </font>
    <font>
      <b/>
      <u/>
      <sz val="10"/>
      <color rgb="FFFF0000"/>
      <name val="Times New Roman"/>
      <family val="2"/>
      <scheme val="minor"/>
    </font>
    <font>
      <b/>
      <sz val="9"/>
      <name val="Times New Roman"/>
      <family val="2"/>
      <scheme val="minor"/>
    </font>
    <font>
      <b/>
      <sz val="9"/>
      <color rgb="FF323232"/>
      <name val="Tahoma"/>
      <family val="2"/>
    </font>
    <font>
      <sz val="9"/>
      <color theme="1"/>
      <name val="Times New Roman"/>
      <family val="2"/>
      <scheme val="minor"/>
    </font>
    <font>
      <sz val="10"/>
      <color theme="1"/>
      <name val="Times New Roman"/>
      <family val="1"/>
      <scheme val="minor"/>
    </font>
    <font>
      <b/>
      <sz val="10"/>
      <color rgb="FFFF0000"/>
      <name val="Times New Roman"/>
      <family val="1"/>
      <scheme val="minor"/>
    </font>
    <font>
      <b/>
      <sz val="14"/>
      <color rgb="FFFF0000"/>
      <name val="Times New Roman"/>
      <family val="1"/>
      <scheme val="minor"/>
    </font>
    <font>
      <b/>
      <sz val="12"/>
      <name val="Times New Roman"/>
      <family val="1"/>
      <scheme val="minor"/>
    </font>
    <font>
      <sz val="11"/>
      <color rgb="FFFF0000"/>
      <name val="Times New Roman"/>
      <family val="2"/>
      <scheme val="minor"/>
    </font>
    <font>
      <b/>
      <sz val="12"/>
      <color rgb="FFFF0000"/>
      <name val="Times New Roman"/>
      <family val="1"/>
      <scheme val="minor"/>
    </font>
    <font>
      <b/>
      <sz val="11"/>
      <color rgb="FFFF0000"/>
      <name val="Times New Roman"/>
      <family val="1"/>
      <scheme val="minor"/>
    </font>
    <font>
      <b/>
      <sz val="16"/>
      <color theme="1"/>
      <name val="Times New Roman"/>
      <family val="1"/>
      <scheme val="minor"/>
    </font>
    <font>
      <b/>
      <sz val="11"/>
      <color rgb="FFFFFF00"/>
      <name val="Times New Roman"/>
      <family val="2"/>
      <scheme val="minor"/>
    </font>
    <font>
      <b/>
      <u/>
      <sz val="14"/>
      <color rgb="FFFF0000"/>
      <name val="Times New Roman"/>
      <family val="2"/>
      <scheme val="minor"/>
    </font>
    <font>
      <b/>
      <u/>
      <sz val="14"/>
      <color theme="1"/>
      <name val="Times New Roman"/>
      <family val="2"/>
      <scheme val="minor"/>
    </font>
    <font>
      <b/>
      <sz val="11"/>
      <color rgb="FF7030A0"/>
      <name val="Times New Roman"/>
      <family val="2"/>
      <scheme val="minor"/>
    </font>
    <font>
      <b/>
      <sz val="9"/>
      <color rgb="FFFF0000"/>
      <name val="Times New Roman"/>
      <family val="1"/>
      <scheme val="minor"/>
    </font>
    <font>
      <sz val="9"/>
      <color theme="1"/>
      <name val="Times New Roman"/>
      <family val="1"/>
      <scheme val="minor"/>
    </font>
    <font>
      <b/>
      <sz val="9"/>
      <color theme="1"/>
      <name val="Times New Roman"/>
      <family val="2"/>
      <scheme val="minor"/>
    </font>
    <font>
      <sz val="10"/>
      <name val="Arial"/>
      <family val="2"/>
    </font>
    <font>
      <sz val="12.1"/>
      <name val="Times New Roman"/>
      <family val="2"/>
      <scheme val="minor"/>
    </font>
    <font>
      <b/>
      <sz val="12.1"/>
      <name val="Times New Roman"/>
      <family val="2"/>
      <scheme val="minor"/>
    </font>
    <font>
      <b/>
      <i/>
      <sz val="11"/>
      <color theme="3" tint="0.39997558519241921"/>
      <name val="Times New Roman"/>
      <family val="2"/>
      <scheme val="minor"/>
    </font>
    <font>
      <b/>
      <i/>
      <sz val="14"/>
      <color theme="3" tint="0.39997558519241921"/>
      <name val="Times New Roman"/>
      <family val="2"/>
      <scheme val="minor"/>
    </font>
    <font>
      <sz val="7.5"/>
      <color indexed="8"/>
      <name val="Calibri"/>
      <family val="2"/>
    </font>
    <font>
      <b/>
      <sz val="14"/>
      <color theme="6" tint="-0.249977111117893"/>
      <name val="Times New Roman"/>
      <family val="2"/>
      <scheme val="minor"/>
    </font>
    <font>
      <sz val="12"/>
      <color indexed="8"/>
      <name val="Calibri"/>
      <family val="2"/>
    </font>
    <font>
      <b/>
      <sz val="24"/>
      <color theme="1"/>
      <name val="Times New Roman"/>
      <family val="2"/>
      <scheme val="minor"/>
    </font>
    <font>
      <sz val="10"/>
      <color rgb="FF323232"/>
      <name val="Tahoma"/>
      <family val="2"/>
    </font>
    <font>
      <b/>
      <sz val="16"/>
      <color rgb="FFFF0000"/>
      <name val="Times New Roman"/>
      <family val="2"/>
      <scheme val="minor"/>
    </font>
    <font>
      <b/>
      <sz val="16"/>
      <color theme="1"/>
      <name val="Times New Roman"/>
      <family val="2"/>
      <scheme val="minor"/>
    </font>
    <font>
      <b/>
      <sz val="10"/>
      <color theme="1"/>
      <name val="Arial"/>
      <family val="2"/>
    </font>
    <font>
      <b/>
      <sz val="12"/>
      <color rgb="FF0070C0"/>
      <name val="Times New Roman"/>
      <family val="2"/>
      <scheme val="minor"/>
    </font>
    <font>
      <sz val="9"/>
      <color theme="1"/>
      <name val="Arial"/>
      <family val="2"/>
    </font>
    <font>
      <i/>
      <u/>
      <sz val="11"/>
      <color theme="1"/>
      <name val="Times New Roman"/>
      <family val="2"/>
      <scheme val="minor"/>
    </font>
    <font>
      <b/>
      <sz val="11"/>
      <color theme="8" tint="-0.249977111117893"/>
      <name val="Times New Roman"/>
      <family val="2"/>
      <scheme val="minor"/>
    </font>
    <font>
      <b/>
      <u/>
      <sz val="11"/>
      <color rgb="FFFF0000"/>
      <name val="Times New Roman"/>
      <family val="2"/>
      <scheme val="minor"/>
    </font>
    <font>
      <b/>
      <sz val="11"/>
      <color rgb="FF0070C0"/>
      <name val="Times New Roman"/>
      <family val="2"/>
      <scheme val="minor"/>
    </font>
    <font>
      <sz val="10"/>
      <color rgb="FFFF0000"/>
      <name val="Times New Roman"/>
      <family val="1"/>
      <scheme val="minor"/>
    </font>
    <font>
      <b/>
      <sz val="12"/>
      <color rgb="FF3E3E3E"/>
      <name val="Courier New"/>
      <family val="3"/>
    </font>
    <font>
      <sz val="11"/>
      <color rgb="FF00B050"/>
      <name val="Times New Roman"/>
      <family val="2"/>
      <scheme val="minor"/>
    </font>
    <font>
      <b/>
      <sz val="14"/>
      <name val="Times New Roman"/>
      <family val="1"/>
      <scheme val="minor"/>
    </font>
    <font>
      <b/>
      <u/>
      <sz val="14"/>
      <name val="Times New Roman"/>
      <family val="1"/>
      <scheme val="minor"/>
    </font>
    <font>
      <sz val="11"/>
      <color theme="1"/>
      <name val="Times New Roman"/>
      <family val="1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fgColor theme="0"/>
      </patternFill>
    </fill>
    <fill>
      <patternFill patternType="gray0625">
        <fgColor theme="0"/>
        <bgColor theme="0" tint="-4.9989318521683403E-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6337778862885"/>
        <bgColor indexed="64"/>
      </patternFill>
    </fill>
  </fills>
  <borders count="30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auto="1"/>
      </left>
      <right/>
      <top style="dashDotDot">
        <color auto="1"/>
      </top>
      <bottom style="thin">
        <color auto="1"/>
      </bottom>
      <diagonal/>
    </border>
    <border>
      <left style="thin">
        <color auto="1"/>
      </left>
      <right/>
      <top/>
      <bottom style="dashDotDot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rgb="FFFF0000"/>
      </bottom>
      <diagonal/>
    </border>
    <border>
      <left/>
      <right style="medium">
        <color auto="1"/>
      </right>
      <top style="medium">
        <color auto="1"/>
      </top>
      <bottom style="thin">
        <color rgb="FFFF0000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rgb="FFFF0000"/>
      </top>
      <bottom/>
      <diagonal/>
    </border>
    <border>
      <left style="medium">
        <color auto="1"/>
      </left>
      <right style="thin">
        <color auto="1"/>
      </right>
      <top style="thin">
        <color rgb="FFFF0000"/>
      </top>
      <bottom/>
      <diagonal/>
    </border>
    <border>
      <left/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6" tint="-0.499984740745262"/>
      </left>
      <right/>
      <top style="thick">
        <color theme="6" tint="-0.499984740745262"/>
      </top>
      <bottom style="thick">
        <color theme="6" tint="-0.499984740745262"/>
      </bottom>
      <diagonal/>
    </border>
    <border>
      <left/>
      <right/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 style="thin">
        <color auto="1"/>
      </left>
      <right/>
      <top style="medium">
        <color auto="1"/>
      </top>
      <bottom style="thin">
        <color rgb="FFFF0000"/>
      </bottom>
      <diagonal/>
    </border>
    <border>
      <left/>
      <right style="thin">
        <color auto="1"/>
      </right>
      <top style="medium">
        <color auto="1"/>
      </top>
      <bottom style="thin">
        <color rgb="FFFF0000"/>
      </bottom>
      <diagonal/>
    </border>
    <border>
      <left style="medium">
        <color auto="1"/>
      </left>
      <right/>
      <top style="medium">
        <color auto="1"/>
      </top>
      <bottom style="thin">
        <color rgb="FFFF0000"/>
      </bottom>
      <diagonal/>
    </border>
    <border>
      <left style="medium">
        <color auto="1"/>
      </left>
      <right style="thick">
        <color theme="3" tint="0.39994506668294322"/>
      </right>
      <top style="thick">
        <color theme="3" tint="0.39994506668294322"/>
      </top>
      <bottom style="thick">
        <color theme="3" tint="0.39994506668294322"/>
      </bottom>
      <diagonal/>
    </border>
    <border>
      <left/>
      <right style="medium">
        <color auto="1"/>
      </right>
      <top style="thick">
        <color theme="3" tint="0.39994506668294322"/>
      </top>
      <bottom style="thick">
        <color theme="3" tint="0.39994506668294322"/>
      </bottom>
      <diagonal/>
    </border>
    <border>
      <left style="thick">
        <color theme="6" tint="-0.499984740745262"/>
      </left>
      <right style="medium">
        <color auto="1"/>
      </right>
      <top style="thick">
        <color theme="6" tint="-0.499984740745262"/>
      </top>
      <bottom style="thick">
        <color theme="6" tint="-0.499984740745262"/>
      </bottom>
      <diagonal/>
    </border>
    <border>
      <left/>
      <right/>
      <top style="thin">
        <color auto="1"/>
      </top>
      <bottom style="thin">
        <color rgb="FFFF0000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ashDotDot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indexed="64"/>
      </right>
      <top/>
      <bottom style="thick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medium">
        <color rgb="FFFF0000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dashDotDot">
        <color auto="1"/>
      </bottom>
      <diagonal/>
    </border>
    <border>
      <left/>
      <right/>
      <top style="thin">
        <color auto="1"/>
      </top>
      <bottom style="dashDotDot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/>
      <right style="dashDotDot">
        <color auto="1"/>
      </right>
      <top/>
      <bottom/>
      <diagonal/>
    </border>
    <border>
      <left style="dashDotDot">
        <color auto="1"/>
      </left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/>
      <bottom style="thin">
        <color rgb="FFFF0000"/>
      </bottom>
      <diagonal/>
    </border>
    <border>
      <left style="medium">
        <color auto="1"/>
      </left>
      <right/>
      <top/>
      <bottom style="thin">
        <color rgb="FFFF0000"/>
      </bottom>
      <diagonal/>
    </border>
    <border>
      <left/>
      <right style="double">
        <color auto="1"/>
      </right>
      <top/>
      <bottom/>
      <diagonal/>
    </border>
    <border>
      <left/>
      <right style="medium">
        <color auto="1"/>
      </right>
      <top/>
      <bottom style="thin">
        <color rgb="FFFF0000"/>
      </bottom>
      <diagonal/>
    </border>
    <border>
      <left style="thin">
        <color auto="1"/>
      </left>
      <right style="medium">
        <color auto="1"/>
      </right>
      <top style="thin">
        <color rgb="FFFF0000"/>
      </top>
      <bottom/>
      <diagonal/>
    </border>
    <border>
      <left/>
      <right style="thin">
        <color auto="1"/>
      </right>
      <top style="thin">
        <color rgb="FFFF0000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dashDot">
        <color auto="1"/>
      </right>
      <top/>
      <bottom/>
      <diagonal/>
    </border>
    <border>
      <left style="dashDot">
        <color auto="1"/>
      </left>
      <right/>
      <top/>
      <bottom/>
      <diagonal/>
    </border>
    <border>
      <left/>
      <right style="dashDot">
        <color auto="1"/>
      </right>
      <top style="dashDot">
        <color auto="1"/>
      </top>
      <bottom/>
      <diagonal/>
    </border>
    <border>
      <left/>
      <right/>
      <top style="dashDot">
        <color auto="1"/>
      </top>
      <bottom/>
      <diagonal/>
    </border>
    <border>
      <left style="dashDot">
        <color auto="1"/>
      </left>
      <right/>
      <top style="dashDot">
        <color auto="1"/>
      </top>
      <bottom/>
      <diagonal/>
    </border>
    <border>
      <left style="thin">
        <color rgb="FFFF0000"/>
      </left>
      <right style="thin">
        <color auto="1"/>
      </right>
      <top/>
      <bottom/>
      <diagonal/>
    </border>
    <border>
      <left style="thin">
        <color rgb="FFFF0000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dashDot">
        <color auto="1"/>
      </right>
      <top/>
      <bottom style="medium">
        <color auto="1"/>
      </bottom>
      <diagonal/>
    </border>
    <border>
      <left style="dashDot">
        <color auto="1"/>
      </left>
      <right/>
      <top/>
      <bottom style="medium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medium">
        <color auto="1"/>
      </bottom>
      <diagonal/>
    </border>
    <border>
      <left style="thin">
        <color auto="1"/>
      </left>
      <right/>
      <top style="dotted">
        <color indexed="64"/>
      </top>
      <bottom style="medium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auto="1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auto="1"/>
      </left>
      <right style="dotted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rgb="FFFF0000"/>
      </right>
      <top/>
      <bottom style="medium">
        <color auto="1"/>
      </bottom>
      <diagonal/>
    </border>
    <border>
      <left style="thin">
        <color rgb="FFFF000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rgb="FFFF0000"/>
      </right>
      <top style="medium">
        <color auto="1"/>
      </top>
      <bottom/>
      <diagonal/>
    </border>
    <border>
      <left style="thin">
        <color rgb="FFFF0000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dotted">
        <color indexed="64"/>
      </top>
      <bottom style="medium">
        <color auto="1"/>
      </bottom>
      <diagonal/>
    </border>
    <border>
      <left/>
      <right/>
      <top style="dotted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dashDot">
        <color indexed="64"/>
      </top>
      <bottom style="dotted">
        <color indexed="64"/>
      </bottom>
      <diagonal/>
    </border>
    <border>
      <left/>
      <right/>
      <top style="dashDot">
        <color indexed="64"/>
      </top>
      <bottom style="dotted">
        <color indexed="64"/>
      </bottom>
      <diagonal/>
    </border>
    <border>
      <left style="thin">
        <color indexed="64"/>
      </left>
      <right/>
      <top style="dashDot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ashDot">
        <color auto="1"/>
      </bottom>
      <diagonal/>
    </border>
    <border>
      <left/>
      <right style="thin">
        <color auto="1"/>
      </right>
      <top style="dotted">
        <color indexed="64"/>
      </top>
      <bottom style="dashDot">
        <color auto="1"/>
      </bottom>
      <diagonal/>
    </border>
    <border>
      <left style="thin">
        <color auto="1"/>
      </left>
      <right/>
      <top style="dotted">
        <color auto="1"/>
      </top>
      <bottom style="dashDot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/>
      <right style="thin">
        <color auto="1"/>
      </right>
      <top style="dotted">
        <color indexed="64"/>
      </top>
      <bottom style="thick">
        <color auto="1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n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tted">
        <color indexed="64"/>
      </bottom>
      <diagonal/>
    </border>
    <border>
      <left/>
      <right style="thin">
        <color auto="1"/>
      </right>
      <top style="thick">
        <color indexed="64"/>
      </top>
      <bottom style="dotted">
        <color indexed="64"/>
      </bottom>
      <diagonal/>
    </border>
    <border>
      <left/>
      <right/>
      <top style="thick">
        <color indexed="64"/>
      </top>
      <bottom style="dotted">
        <color auto="1"/>
      </bottom>
      <diagonal/>
    </border>
    <border>
      <left style="thin">
        <color auto="1"/>
      </left>
      <right/>
      <top style="thick">
        <color indexed="64"/>
      </top>
      <bottom style="dotted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medium">
        <color indexed="64"/>
      </right>
      <top style="dotted">
        <color auto="1"/>
      </top>
      <bottom style="thick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Dashed">
        <color auto="1"/>
      </bottom>
      <diagonal/>
    </border>
    <border>
      <left/>
      <right style="thin">
        <color auto="1"/>
      </right>
      <top style="hair">
        <color auto="1"/>
      </top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 style="thin">
        <color auto="1"/>
      </left>
      <right/>
      <top style="hair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hair">
        <color auto="1"/>
      </bottom>
      <diagonal/>
    </border>
    <border>
      <left/>
      <right style="thin">
        <color auto="1"/>
      </right>
      <top style="mediumDashed">
        <color auto="1"/>
      </top>
      <bottom/>
      <diagonal/>
    </border>
    <border>
      <left/>
      <right/>
      <top style="mediumDashed">
        <color auto="1"/>
      </top>
      <bottom style="hair">
        <color auto="1"/>
      </bottom>
      <diagonal/>
    </border>
    <border>
      <left style="thin">
        <color auto="1"/>
      </left>
      <right/>
      <top style="mediumDashed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mediumDashed">
        <color auto="1"/>
      </top>
      <bottom/>
      <diagonal/>
    </border>
    <border>
      <left style="thin">
        <color auto="1"/>
      </left>
      <right style="medium">
        <color auto="1"/>
      </right>
      <top/>
      <bottom style="mediumDashed">
        <color auto="1"/>
      </bottom>
      <diagonal/>
    </border>
    <border>
      <left/>
      <right style="thin">
        <color auto="1"/>
      </right>
      <top style="dotted">
        <color indexed="64"/>
      </top>
      <bottom style="mediumDashed">
        <color auto="1"/>
      </bottom>
      <diagonal/>
    </border>
    <border>
      <left style="thin">
        <color auto="1"/>
      </left>
      <right/>
      <top style="dotted">
        <color indexed="64"/>
      </top>
      <bottom style="mediumDashed">
        <color auto="1"/>
      </bottom>
      <diagonal/>
    </border>
    <border>
      <left/>
      <right/>
      <top style="dotted">
        <color indexed="64"/>
      </top>
      <bottom style="mediumDashed">
        <color auto="1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mediumDashed">
        <color auto="1"/>
      </bottom>
      <diagonal/>
    </border>
    <border>
      <left style="medium">
        <color auto="1"/>
      </left>
      <right style="thin">
        <color auto="1"/>
      </right>
      <top style="dotted">
        <color indexed="64"/>
      </top>
      <bottom style="mediumDashed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/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DotDot">
        <color auto="1"/>
      </top>
      <bottom/>
      <diagonal/>
    </border>
    <border>
      <left style="thick">
        <color auto="1"/>
      </left>
      <right style="thin">
        <color auto="1"/>
      </right>
      <top style="dashDotDot">
        <color auto="1"/>
      </top>
      <bottom/>
      <diagonal/>
    </border>
    <border>
      <left style="medium">
        <color rgb="FFFF0000"/>
      </left>
      <right/>
      <top/>
      <bottom/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auto="1"/>
      </bottom>
      <diagonal/>
    </border>
    <border>
      <left/>
      <right/>
      <top style="thick">
        <color rgb="FFFF0000"/>
      </top>
      <bottom style="thick">
        <color auto="1"/>
      </bottom>
      <diagonal/>
    </border>
    <border>
      <left/>
      <right style="thick">
        <color rgb="FFFF0000"/>
      </right>
      <top style="thick">
        <color rgb="FFFF0000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/>
      <bottom style="dotted">
        <color indexed="64"/>
      </bottom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dashDotDot">
        <color auto="1"/>
      </bottom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/>
      <diagonal/>
    </border>
    <border>
      <left style="mediumDashDotDot">
        <color auto="1"/>
      </left>
      <right style="mediumDashDotDot">
        <color auto="1"/>
      </right>
      <top/>
      <bottom/>
      <diagonal/>
    </border>
    <border>
      <left style="mediumDashDotDot">
        <color auto="1"/>
      </left>
      <right style="mediumDashDotDot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166" fontId="27" fillId="0" borderId="0" applyFont="0" applyFill="0" applyBorder="0" applyAlignment="0" applyProtection="0"/>
  </cellStyleXfs>
  <cellXfs count="194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3" fillId="0" borderId="0" xfId="0" applyFont="1" applyBorder="1" applyAlignment="1"/>
    <xf numFmtId="0" fontId="3" fillId="0" borderId="0" xfId="0" applyFont="1"/>
    <xf numFmtId="0" fontId="3" fillId="0" borderId="0" xfId="0" applyFont="1" applyAlignment="1"/>
    <xf numFmtId="0" fontId="3" fillId="0" borderId="0" xfId="0" applyFont="1" applyBorder="1"/>
    <xf numFmtId="49" fontId="6" fillId="0" borderId="0" xfId="0" applyNumberFormat="1" applyFont="1" applyBorder="1" applyAlignment="1">
      <alignment horizontal="center"/>
    </xf>
    <xf numFmtId="49" fontId="9" fillId="3" borderId="8" xfId="0" applyNumberFormat="1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Border="1"/>
    <xf numFmtId="49" fontId="3" fillId="0" borderId="11" xfId="0" applyNumberFormat="1" applyFont="1" applyBorder="1"/>
    <xf numFmtId="0" fontId="3" fillId="0" borderId="11" xfId="0" applyFont="1" applyBorder="1"/>
    <xf numFmtId="0" fontId="4" fillId="0" borderId="11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3" fillId="0" borderId="21" xfId="0" applyFont="1" applyBorder="1"/>
    <xf numFmtId="0" fontId="3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43" fontId="12" fillId="9" borderId="1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vertic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Border="1" applyAlignment="1"/>
    <xf numFmtId="43" fontId="4" fillId="0" borderId="0" xfId="0" applyNumberFormat="1" applyFont="1" applyFill="1" applyBorder="1" applyAlignment="1">
      <alignment horizontal="center"/>
    </xf>
    <xf numFmtId="43" fontId="3" fillId="0" borderId="0" xfId="0" applyNumberFormat="1" applyFont="1" applyBorder="1" applyAlignment="1">
      <alignment horizontal="center"/>
    </xf>
    <xf numFmtId="43" fontId="3" fillId="0" borderId="0" xfId="0" applyNumberFormat="1" applyFont="1" applyBorder="1"/>
    <xf numFmtId="0" fontId="8" fillId="0" borderId="0" xfId="0" applyFont="1" applyBorder="1" applyAlignment="1">
      <alignment horizontal="center"/>
    </xf>
    <xf numFmtId="49" fontId="3" fillId="0" borderId="0" xfId="0" applyNumberFormat="1" applyFont="1" applyBorder="1"/>
    <xf numFmtId="0" fontId="3" fillId="6" borderId="0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left"/>
    </xf>
    <xf numFmtId="43" fontId="3" fillId="6" borderId="11" xfId="0" applyNumberFormat="1" applyFont="1" applyFill="1" applyBorder="1"/>
    <xf numFmtId="43" fontId="3" fillId="6" borderId="5" xfId="0" applyNumberFormat="1" applyFont="1" applyFill="1" applyBorder="1"/>
    <xf numFmtId="0" fontId="0" fillId="5" borderId="0" xfId="0" applyFill="1"/>
    <xf numFmtId="0" fontId="17" fillId="0" borderId="0" xfId="0" applyFont="1"/>
    <xf numFmtId="0" fontId="0" fillId="14" borderId="0" xfId="0" applyFill="1"/>
    <xf numFmtId="0" fontId="15" fillId="2" borderId="0" xfId="0" applyFont="1" applyFill="1"/>
    <xf numFmtId="0" fontId="0" fillId="0" borderId="11" xfId="0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5" xfId="0" applyBorder="1" applyAlignment="1">
      <alignment horizontal="center"/>
    </xf>
    <xf numFmtId="0" fontId="0" fillId="0" borderId="29" xfId="0" applyBorder="1"/>
    <xf numFmtId="0" fontId="0" fillId="0" borderId="26" xfId="0" applyBorder="1"/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9" fontId="18" fillId="0" borderId="27" xfId="0" applyNumberFormat="1" applyFont="1" applyBorder="1" applyAlignment="1">
      <alignment horizontal="center" vertical="center"/>
    </xf>
    <xf numFmtId="49" fontId="18" fillId="0" borderId="27" xfId="0" applyNumberFormat="1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5" fontId="0" fillId="0" borderId="24" xfId="0" applyNumberFormat="1" applyBorder="1"/>
    <xf numFmtId="165" fontId="0" fillId="0" borderId="25" xfId="0" applyNumberFormat="1" applyBorder="1"/>
    <xf numFmtId="165" fontId="0" fillId="0" borderId="26" xfId="0" applyNumberFormat="1" applyBorder="1"/>
    <xf numFmtId="0" fontId="0" fillId="0" borderId="5" xfId="0" applyBorder="1" applyAlignment="1">
      <alignment horizontal="center" vertical="center"/>
    </xf>
    <xf numFmtId="0" fontId="0" fillId="0" borderId="31" xfId="0" applyBorder="1"/>
    <xf numFmtId="0" fontId="0" fillId="0" borderId="28" xfId="0" applyBorder="1"/>
    <xf numFmtId="0" fontId="18" fillId="0" borderId="5" xfId="0" applyFont="1" applyBorder="1"/>
    <xf numFmtId="0" fontId="0" fillId="0" borderId="1" xfId="0" applyBorder="1"/>
    <xf numFmtId="0" fontId="0" fillId="0" borderId="5" xfId="0" applyBorder="1" applyAlignment="1">
      <alignment vertical="center"/>
    </xf>
    <xf numFmtId="0" fontId="18" fillId="0" borderId="5" xfId="0" applyFont="1" applyBorder="1" applyAlignment="1">
      <alignment horizontal="center" vertical="center"/>
    </xf>
    <xf numFmtId="165" fontId="0" fillId="0" borderId="29" xfId="0" applyNumberFormat="1" applyBorder="1"/>
    <xf numFmtId="0" fontId="0" fillId="0" borderId="30" xfId="0" applyBorder="1"/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/>
    </xf>
    <xf numFmtId="0" fontId="0" fillId="0" borderId="40" xfId="0" applyBorder="1"/>
    <xf numFmtId="0" fontId="0" fillId="0" borderId="42" xfId="0" applyBorder="1"/>
    <xf numFmtId="0" fontId="0" fillId="0" borderId="41" xfId="0" applyBorder="1" applyAlignment="1">
      <alignment horizontal="center"/>
    </xf>
    <xf numFmtId="49" fontId="0" fillId="0" borderId="0" xfId="0" applyNumberFormat="1"/>
    <xf numFmtId="0" fontId="0" fillId="0" borderId="0" xfId="0" applyAlignment="1"/>
    <xf numFmtId="0" fontId="21" fillId="0" borderId="0" xfId="0" applyFont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12" xfId="0" applyBorder="1"/>
    <xf numFmtId="49" fontId="8" fillId="0" borderId="0" xfId="0" applyNumberFormat="1" applyFont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0" fontId="10" fillId="0" borderId="8" xfId="0" applyFont="1" applyBorder="1"/>
    <xf numFmtId="0" fontId="19" fillId="0" borderId="8" xfId="0" applyFont="1" applyBorder="1"/>
    <xf numFmtId="49" fontId="8" fillId="0" borderId="1" xfId="0" applyNumberFormat="1" applyFont="1" applyBorder="1" applyAlignment="1">
      <alignment horizontal="center"/>
    </xf>
    <xf numFmtId="0" fontId="21" fillId="0" borderId="2" xfId="0" applyFont="1" applyBorder="1"/>
    <xf numFmtId="0" fontId="21" fillId="0" borderId="0" xfId="0" applyFont="1" applyBorder="1"/>
    <xf numFmtId="49" fontId="8" fillId="0" borderId="6" xfId="0" applyNumberFormat="1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0" fontId="21" fillId="0" borderId="5" xfId="0" applyFont="1" applyBorder="1" applyAlignment="1"/>
    <xf numFmtId="0" fontId="21" fillId="0" borderId="5" xfId="0" applyFont="1" applyBorder="1"/>
    <xf numFmtId="0" fontId="19" fillId="0" borderId="0" xfId="0" applyFont="1" applyBorder="1"/>
    <xf numFmtId="0" fontId="21" fillId="0" borderId="7" xfId="0" applyFont="1" applyBorder="1"/>
    <xf numFmtId="49" fontId="19" fillId="0" borderId="0" xfId="0" applyNumberFormat="1" applyFont="1" applyBorder="1" applyAlignment="1">
      <alignment horizontal="left"/>
    </xf>
    <xf numFmtId="49" fontId="19" fillId="0" borderId="0" xfId="0" applyNumberFormat="1" applyFont="1" applyBorder="1"/>
    <xf numFmtId="49" fontId="19" fillId="0" borderId="8" xfId="0" applyNumberFormat="1" applyFont="1" applyBorder="1"/>
    <xf numFmtId="0" fontId="0" fillId="0" borderId="13" xfId="0" applyBorder="1"/>
    <xf numFmtId="0" fontId="0" fillId="0" borderId="12" xfId="0" applyBorder="1" applyAlignment="1"/>
    <xf numFmtId="0" fontId="0" fillId="0" borderId="20" xfId="0" applyBorder="1" applyAlignment="1"/>
    <xf numFmtId="49" fontId="21" fillId="0" borderId="0" xfId="0" applyNumberFormat="1" applyFont="1"/>
    <xf numFmtId="49" fontId="0" fillId="0" borderId="8" xfId="0" applyNumberFormat="1" applyBorder="1"/>
    <xf numFmtId="49" fontId="21" fillId="0" borderId="8" xfId="0" applyNumberFormat="1" applyFont="1" applyBorder="1"/>
    <xf numFmtId="49" fontId="0" fillId="0" borderId="0" xfId="0" applyNumberFormat="1" applyBorder="1"/>
    <xf numFmtId="49" fontId="21" fillId="0" borderId="0" xfId="0" applyNumberFormat="1" applyFont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9" xfId="0" applyNumberFormat="1" applyBorder="1"/>
    <xf numFmtId="49" fontId="20" fillId="0" borderId="8" xfId="0" applyNumberFormat="1" applyFont="1" applyBorder="1"/>
    <xf numFmtId="49" fontId="21" fillId="0" borderId="3" xfId="0" applyNumberFormat="1" applyFont="1" applyBorder="1"/>
    <xf numFmtId="0" fontId="21" fillId="0" borderId="3" xfId="0" applyFont="1" applyBorder="1"/>
    <xf numFmtId="49" fontId="8" fillId="0" borderId="4" xfId="0" applyNumberFormat="1" applyFont="1" applyBorder="1" applyAlignment="1">
      <alignment horizontal="center"/>
    </xf>
    <xf numFmtId="49" fontId="20" fillId="0" borderId="0" xfId="0" applyNumberFormat="1" applyFont="1" applyBorder="1"/>
    <xf numFmtId="49" fontId="10" fillId="0" borderId="0" xfId="0" applyNumberFormat="1" applyFont="1" applyBorder="1"/>
    <xf numFmtId="49" fontId="21" fillId="0" borderId="13" xfId="0" applyNumberFormat="1" applyFont="1" applyBorder="1"/>
    <xf numFmtId="49" fontId="10" fillId="0" borderId="1" xfId="0" applyNumberFormat="1" applyFont="1" applyBorder="1"/>
    <xf numFmtId="49" fontId="10" fillId="0" borderId="8" xfId="0" applyNumberFormat="1" applyFont="1" applyBorder="1"/>
    <xf numFmtId="49" fontId="10" fillId="0" borderId="3" xfId="0" applyNumberFormat="1" applyFont="1" applyBorder="1"/>
    <xf numFmtId="49" fontId="10" fillId="0" borderId="1" xfId="0" applyNumberFormat="1" applyFont="1" applyBorder="1" applyAlignment="1">
      <alignment horizontal="center"/>
    </xf>
    <xf numFmtId="49" fontId="10" fillId="0" borderId="8" xfId="0" applyNumberFormat="1" applyFont="1" applyBorder="1" applyAlignment="1">
      <alignment horizontal="center"/>
    </xf>
    <xf numFmtId="0" fontId="3" fillId="6" borderId="5" xfId="0" applyFont="1" applyFill="1" applyBorder="1"/>
    <xf numFmtId="43" fontId="11" fillId="0" borderId="11" xfId="0" applyNumberFormat="1" applyFont="1" applyFill="1" applyBorder="1" applyAlignment="1">
      <alignment horizontal="center"/>
    </xf>
    <xf numFmtId="0" fontId="6" fillId="0" borderId="11" xfId="0" applyNumberFormat="1" applyFont="1" applyFill="1" applyBorder="1" applyAlignment="1">
      <alignment horizontal="center"/>
    </xf>
    <xf numFmtId="43" fontId="0" fillId="0" borderId="24" xfId="0" applyNumberFormat="1" applyBorder="1"/>
    <xf numFmtId="43" fontId="0" fillId="0" borderId="25" xfId="0" applyNumberFormat="1" applyBorder="1"/>
    <xf numFmtId="0" fontId="0" fillId="0" borderId="3" xfId="0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8" xfId="0" applyBorder="1" applyAlignme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1" xfId="0" applyFont="1" applyBorder="1"/>
    <xf numFmtId="0" fontId="3" fillId="0" borderId="12" xfId="0" applyFont="1" applyBorder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0" xfId="0" applyFont="1" applyBorder="1" applyAlignment="1">
      <alignment horizontal="center"/>
    </xf>
    <xf numFmtId="0" fontId="7" fillId="0" borderId="43" xfId="0" applyFont="1" applyBorder="1" applyAlignment="1">
      <alignment vertical="center"/>
    </xf>
    <xf numFmtId="0" fontId="7" fillId="0" borderId="44" xfId="0" applyFont="1" applyBorder="1" applyAlignment="1">
      <alignment vertical="center"/>
    </xf>
    <xf numFmtId="0" fontId="7" fillId="0" borderId="45" xfId="0" applyFont="1" applyBorder="1" applyAlignment="1">
      <alignment vertical="center"/>
    </xf>
    <xf numFmtId="0" fontId="3" fillId="0" borderId="20" xfId="0" applyFont="1" applyBorder="1" applyAlignment="1"/>
    <xf numFmtId="43" fontId="4" fillId="0" borderId="1" xfId="0" applyNumberFormat="1" applyFont="1" applyBorder="1"/>
    <xf numFmtId="43" fontId="4" fillId="0" borderId="11" xfId="0" applyNumberFormat="1" applyFont="1" applyBorder="1"/>
    <xf numFmtId="0" fontId="7" fillId="0" borderId="0" xfId="0" applyFont="1" applyBorder="1" applyAlignment="1">
      <alignment horizontal="center" vertical="center"/>
    </xf>
    <xf numFmtId="43" fontId="12" fillId="12" borderId="1" xfId="0" applyNumberFormat="1" applyFont="1" applyFill="1" applyBorder="1"/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/>
    <xf numFmtId="0" fontId="3" fillId="0" borderId="48" xfId="0" applyFont="1" applyBorder="1" applyAlignment="1"/>
    <xf numFmtId="0" fontId="3" fillId="0" borderId="49" xfId="0" applyFont="1" applyBorder="1" applyAlignment="1"/>
    <xf numFmtId="43" fontId="4" fillId="0" borderId="10" xfId="0" applyNumberFormat="1" applyFont="1" applyBorder="1"/>
    <xf numFmtId="0" fontId="3" fillId="0" borderId="50" xfId="0" applyFont="1" applyBorder="1" applyAlignment="1">
      <alignment horizontal="center"/>
    </xf>
    <xf numFmtId="0" fontId="8" fillId="5" borderId="1" xfId="0" applyFont="1" applyFill="1" applyBorder="1" applyAlignment="1">
      <alignment vertical="center"/>
    </xf>
    <xf numFmtId="43" fontId="0" fillId="0" borderId="0" xfId="0" applyNumberFormat="1" applyFill="1" applyBorder="1" applyAlignment="1">
      <alignment horizontal="left"/>
    </xf>
    <xf numFmtId="0" fontId="1" fillId="0" borderId="0" xfId="0" applyFont="1" applyBorder="1" applyAlignment="1"/>
    <xf numFmtId="43" fontId="0" fillId="0" borderId="0" xfId="0" applyNumberFormat="1"/>
    <xf numFmtId="43" fontId="3" fillId="0" borderId="0" xfId="0" applyNumberFormat="1" applyFont="1" applyBorder="1" applyAlignment="1"/>
    <xf numFmtId="43" fontId="0" fillId="0" borderId="0" xfId="0" applyNumberFormat="1" applyBorder="1"/>
    <xf numFmtId="49" fontId="17" fillId="0" borderId="0" xfId="0" applyNumberFormat="1" applyFont="1" applyBorder="1" applyAlignment="1">
      <alignment horizontal="center"/>
    </xf>
    <xf numFmtId="49" fontId="17" fillId="0" borderId="3" xfId="0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5" fillId="0" borderId="0" xfId="0" applyFont="1" applyAlignment="1">
      <alignment horizontal="center"/>
    </xf>
    <xf numFmtId="49" fontId="26" fillId="0" borderId="0" xfId="0" applyNumberFormat="1" applyFont="1" applyAlignment="1">
      <alignment horizontal="center"/>
    </xf>
    <xf numFmtId="49" fontId="17" fillId="0" borderId="0" xfId="0" applyNumberFormat="1" applyFont="1" applyAlignment="1">
      <alignment horizontal="center"/>
    </xf>
    <xf numFmtId="166" fontId="0" fillId="0" borderId="0" xfId="1" applyFont="1" applyBorder="1"/>
    <xf numFmtId="0" fontId="0" fillId="0" borderId="0" xfId="1" applyNumberFormat="1" applyFont="1" applyBorder="1"/>
    <xf numFmtId="0" fontId="25" fillId="0" borderId="8" xfId="0" applyFont="1" applyBorder="1" applyAlignment="1">
      <alignment horizontal="center"/>
    </xf>
    <xf numFmtId="0" fontId="25" fillId="0" borderId="7" xfId="0" applyFont="1" applyBorder="1" applyAlignment="1">
      <alignment horizontal="left"/>
    </xf>
    <xf numFmtId="166" fontId="0" fillId="0" borderId="0" xfId="0" applyNumberFormat="1" applyBorder="1"/>
    <xf numFmtId="49" fontId="0" fillId="0" borderId="0" xfId="1" applyNumberFormat="1" applyFont="1" applyBorder="1"/>
    <xf numFmtId="0" fontId="25" fillId="0" borderId="0" xfId="0" applyFont="1"/>
    <xf numFmtId="43" fontId="15" fillId="0" borderId="0" xfId="1" applyNumberFormat="1" applyFont="1" applyBorder="1"/>
    <xf numFmtId="43" fontId="15" fillId="0" borderId="52" xfId="1" applyNumberFormat="1" applyFont="1" applyBorder="1"/>
    <xf numFmtId="166" fontId="10" fillId="0" borderId="53" xfId="1" applyFont="1" applyBorder="1"/>
    <xf numFmtId="0" fontId="13" fillId="0" borderId="53" xfId="1" applyNumberFormat="1" applyFont="1" applyBorder="1" applyAlignment="1">
      <alignment horizontal="center"/>
    </xf>
    <xf numFmtId="0" fontId="1" fillId="0" borderId="53" xfId="1" applyNumberFormat="1" applyFont="1" applyBorder="1" applyAlignment="1">
      <alignment horizontal="center"/>
    </xf>
    <xf numFmtId="0" fontId="10" fillId="0" borderId="53" xfId="0" applyFont="1" applyBorder="1"/>
    <xf numFmtId="0" fontId="13" fillId="0" borderId="53" xfId="1" applyNumberFormat="1" applyFont="1" applyBorder="1"/>
    <xf numFmtId="0" fontId="1" fillId="0" borderId="53" xfId="1" applyNumberFormat="1" applyFont="1" applyBorder="1"/>
    <xf numFmtId="166" fontId="0" fillId="0" borderId="54" xfId="1" applyFont="1" applyBorder="1"/>
    <xf numFmtId="166" fontId="0" fillId="0" borderId="55" xfId="1" applyFont="1" applyBorder="1"/>
    <xf numFmtId="0" fontId="0" fillId="0" borderId="55" xfId="0" applyBorder="1"/>
    <xf numFmtId="49" fontId="0" fillId="0" borderId="55" xfId="1" applyNumberFormat="1" applyFont="1" applyBorder="1"/>
    <xf numFmtId="166" fontId="17" fillId="0" borderId="55" xfId="1" applyFont="1" applyBorder="1"/>
    <xf numFmtId="0" fontId="0" fillId="0" borderId="56" xfId="0" applyBorder="1"/>
    <xf numFmtId="0" fontId="28" fillId="0" borderId="5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 vertical="center"/>
    </xf>
    <xf numFmtId="0" fontId="0" fillId="0" borderId="57" xfId="0" applyBorder="1"/>
    <xf numFmtId="0" fontId="0" fillId="0" borderId="59" xfId="0" applyBorder="1"/>
    <xf numFmtId="0" fontId="0" fillId="0" borderId="58" xfId="0" applyBorder="1"/>
    <xf numFmtId="166" fontId="0" fillId="0" borderId="57" xfId="1" applyFont="1" applyBorder="1"/>
    <xf numFmtId="43" fontId="29" fillId="0" borderId="60" xfId="1" applyNumberFormat="1" applyFont="1" applyBorder="1"/>
    <xf numFmtId="43" fontId="8" fillId="0" borderId="53" xfId="1" applyNumberFormat="1" applyFont="1" applyBorder="1"/>
    <xf numFmtId="0" fontId="0" fillId="0" borderId="61" xfId="0" applyBorder="1"/>
    <xf numFmtId="166" fontId="0" fillId="0" borderId="62" xfId="1" applyFont="1" applyBorder="1"/>
    <xf numFmtId="0" fontId="0" fillId="0" borderId="63" xfId="0" applyBorder="1"/>
    <xf numFmtId="49" fontId="0" fillId="0" borderId="64" xfId="1" applyNumberFormat="1" applyFont="1" applyBorder="1"/>
    <xf numFmtId="166" fontId="0" fillId="0" borderId="66" xfId="1" applyFont="1" applyBorder="1"/>
    <xf numFmtId="43" fontId="0" fillId="0" borderId="66" xfId="1" applyNumberFormat="1" applyFont="1" applyBorder="1"/>
    <xf numFmtId="166" fontId="0" fillId="0" borderId="67" xfId="1" applyFont="1" applyBorder="1"/>
    <xf numFmtId="166" fontId="0" fillId="0" borderId="59" xfId="1" applyFont="1" applyBorder="1"/>
    <xf numFmtId="166" fontId="0" fillId="0" borderId="68" xfId="1" applyFont="1" applyBorder="1"/>
    <xf numFmtId="0" fontId="0" fillId="0" borderId="66" xfId="0" applyBorder="1"/>
    <xf numFmtId="43" fontId="0" fillId="0" borderId="67" xfId="1" applyNumberFormat="1" applyFont="1" applyBorder="1"/>
    <xf numFmtId="49" fontId="0" fillId="0" borderId="69" xfId="1" applyNumberFormat="1" applyFont="1" applyBorder="1"/>
    <xf numFmtId="49" fontId="0" fillId="0" borderId="54" xfId="1" applyNumberFormat="1" applyFont="1" applyBorder="1" applyAlignment="1">
      <alignment horizontal="center"/>
    </xf>
    <xf numFmtId="49" fontId="0" fillId="0" borderId="0" xfId="1" applyNumberFormat="1" applyFont="1" applyBorder="1" applyAlignment="1">
      <alignment horizontal="center"/>
    </xf>
    <xf numFmtId="166" fontId="0" fillId="0" borderId="52" xfId="1" applyFont="1" applyBorder="1"/>
    <xf numFmtId="0" fontId="0" fillId="0" borderId="68" xfId="0" applyBorder="1"/>
    <xf numFmtId="43" fontId="0" fillId="0" borderId="0" xfId="1" applyNumberFormat="1" applyFont="1" applyBorder="1"/>
    <xf numFmtId="49" fontId="0" fillId="0" borderId="58" xfId="1" applyNumberFormat="1" applyFont="1" applyBorder="1" applyAlignment="1">
      <alignment horizontal="center"/>
    </xf>
    <xf numFmtId="49" fontId="0" fillId="0" borderId="53" xfId="1" applyNumberFormat="1" applyFont="1" applyBorder="1" applyAlignment="1">
      <alignment horizontal="center"/>
    </xf>
    <xf numFmtId="43" fontId="0" fillId="0" borderId="61" xfId="1" applyNumberFormat="1" applyFont="1" applyBorder="1"/>
    <xf numFmtId="43" fontId="25" fillId="0" borderId="0" xfId="0" applyNumberFormat="1" applyFont="1"/>
    <xf numFmtId="0" fontId="30" fillId="0" borderId="0" xfId="0" applyFont="1" applyBorder="1" applyAlignment="1">
      <alignment horizontal="center" vertical="center"/>
    </xf>
    <xf numFmtId="166" fontId="30" fillId="0" borderId="0" xfId="1" applyFont="1" applyBorder="1" applyAlignment="1">
      <alignment horizontal="center"/>
    </xf>
    <xf numFmtId="0" fontId="0" fillId="0" borderId="0" xfId="0" applyFont="1"/>
    <xf numFmtId="0" fontId="1" fillId="0" borderId="0" xfId="0" applyFont="1" applyBorder="1" applyAlignment="1">
      <alignment horizontal="center"/>
    </xf>
    <xf numFmtId="0" fontId="0" fillId="0" borderId="0" xfId="0" applyFont="1" applyBorder="1"/>
    <xf numFmtId="166" fontId="0" fillId="0" borderId="71" xfId="1" applyFont="1" applyBorder="1"/>
    <xf numFmtId="0" fontId="0" fillId="0" borderId="71" xfId="1" applyNumberFormat="1" applyFont="1" applyBorder="1"/>
    <xf numFmtId="0" fontId="1" fillId="0" borderId="71" xfId="0" applyFont="1" applyBorder="1" applyAlignment="1">
      <alignment horizontal="center"/>
    </xf>
    <xf numFmtId="0" fontId="0" fillId="0" borderId="59" xfId="0" applyFont="1" applyBorder="1"/>
    <xf numFmtId="0" fontId="0" fillId="0" borderId="53" xfId="0" applyFont="1" applyBorder="1"/>
    <xf numFmtId="0" fontId="1" fillId="0" borderId="53" xfId="0" applyFont="1" applyBorder="1" applyAlignment="1"/>
    <xf numFmtId="0" fontId="1" fillId="0" borderId="53" xfId="0" applyFont="1" applyBorder="1" applyAlignment="1">
      <alignment horizontal="center"/>
    </xf>
    <xf numFmtId="0" fontId="10" fillId="0" borderId="72" xfId="0" applyFont="1" applyBorder="1"/>
    <xf numFmtId="0" fontId="8" fillId="0" borderId="53" xfId="0" applyFont="1" applyBorder="1" applyAlignment="1">
      <alignment horizontal="center"/>
    </xf>
    <xf numFmtId="49" fontId="0" fillId="0" borderId="63" xfId="1" applyNumberFormat="1" applyFont="1" applyBorder="1"/>
    <xf numFmtId="0" fontId="0" fillId="0" borderId="64" xfId="1" applyNumberFormat="1" applyFont="1" applyBorder="1"/>
    <xf numFmtId="166" fontId="30" fillId="0" borderId="64" xfId="1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166" fontId="8" fillId="0" borderId="0" xfId="1" applyFont="1" applyBorder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1" applyFont="1" applyBorder="1" applyAlignment="1">
      <alignment horizontal="center"/>
    </xf>
    <xf numFmtId="0" fontId="0" fillId="0" borderId="53" xfId="0" applyBorder="1"/>
    <xf numFmtId="43" fontId="0" fillId="0" borderId="53" xfId="1" applyNumberFormat="1" applyFont="1" applyBorder="1"/>
    <xf numFmtId="43" fontId="0" fillId="0" borderId="53" xfId="0" applyNumberFormat="1" applyBorder="1"/>
    <xf numFmtId="43" fontId="3" fillId="0" borderId="53" xfId="0" applyNumberFormat="1" applyFont="1" applyBorder="1"/>
    <xf numFmtId="166" fontId="0" fillId="0" borderId="0" xfId="0" applyNumberFormat="1"/>
    <xf numFmtId="43" fontId="1" fillId="0" borderId="53" xfId="0" applyNumberFormat="1" applyFont="1" applyBorder="1"/>
    <xf numFmtId="166" fontId="1" fillId="0" borderId="0" xfId="1" applyFont="1" applyBorder="1"/>
    <xf numFmtId="166" fontId="1" fillId="0" borderId="61" xfId="1" applyFont="1" applyBorder="1"/>
    <xf numFmtId="43" fontId="0" fillId="0" borderId="52" xfId="1" applyNumberFormat="1" applyFont="1" applyBorder="1"/>
    <xf numFmtId="43" fontId="0" fillId="0" borderId="60" xfId="1" applyNumberFormat="1" applyFont="1" applyBorder="1"/>
    <xf numFmtId="49" fontId="0" fillId="0" borderId="53" xfId="1" applyNumberFormat="1" applyFont="1" applyBorder="1"/>
    <xf numFmtId="166" fontId="15" fillId="0" borderId="0" xfId="1" applyFont="1" applyBorder="1"/>
    <xf numFmtId="49" fontId="0" fillId="0" borderId="76" xfId="1" applyNumberFormat="1" applyFont="1" applyBorder="1"/>
    <xf numFmtId="0" fontId="0" fillId="0" borderId="76" xfId="1" applyNumberFormat="1" applyFont="1" applyBorder="1" applyAlignment="1">
      <alignment horizontal="center"/>
    </xf>
    <xf numFmtId="43" fontId="15" fillId="0" borderId="77" xfId="1" applyNumberFormat="1" applyFont="1" applyBorder="1"/>
    <xf numFmtId="166" fontId="15" fillId="0" borderId="76" xfId="1" applyFont="1" applyBorder="1"/>
    <xf numFmtId="0" fontId="8" fillId="0" borderId="61" xfId="1" applyNumberFormat="1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43" fontId="1" fillId="0" borderId="53" xfId="1" applyNumberFormat="1" applyFont="1" applyBorder="1"/>
    <xf numFmtId="166" fontId="8" fillId="0" borderId="0" xfId="1" applyFont="1" applyBorder="1"/>
    <xf numFmtId="43" fontId="8" fillId="0" borderId="0" xfId="1" applyNumberFormat="1" applyFont="1" applyBorder="1"/>
    <xf numFmtId="166" fontId="0" fillId="0" borderId="76" xfId="1" applyFont="1" applyBorder="1"/>
    <xf numFmtId="0" fontId="8" fillId="0" borderId="61" xfId="1" applyNumberFormat="1" applyFont="1" applyBorder="1"/>
    <xf numFmtId="0" fontId="14" fillId="0" borderId="0" xfId="0" applyFont="1" applyBorder="1" applyAlignment="1">
      <alignment horizontal="center"/>
    </xf>
    <xf numFmtId="166" fontId="8" fillId="0" borderId="0" xfId="1" applyFont="1" applyFill="1" applyBorder="1"/>
    <xf numFmtId="166" fontId="0" fillId="0" borderId="0" xfId="1" applyFont="1" applyBorder="1" applyAlignment="1"/>
    <xf numFmtId="43" fontId="3" fillId="0" borderId="0" xfId="1" applyNumberFormat="1" applyFont="1" applyBorder="1"/>
    <xf numFmtId="43" fontId="0" fillId="0" borderId="0" xfId="1" applyNumberFormat="1" applyFont="1" applyFill="1" applyBorder="1" applyAlignment="1"/>
    <xf numFmtId="0" fontId="0" fillId="0" borderId="23" xfId="0" applyBorder="1"/>
    <xf numFmtId="49" fontId="17" fillId="0" borderId="53" xfId="0" applyNumberFormat="1" applyFont="1" applyBorder="1" applyAlignment="1">
      <alignment horizontal="center"/>
    </xf>
    <xf numFmtId="0" fontId="0" fillId="0" borderId="5" xfId="1" applyNumberFormat="1" applyFont="1" applyFill="1" applyBorder="1" applyAlignment="1"/>
    <xf numFmtId="43" fontId="17" fillId="3" borderId="52" xfId="1" applyNumberFormat="1" applyFont="1" applyFill="1" applyBorder="1"/>
    <xf numFmtId="49" fontId="0" fillId="0" borderId="5" xfId="1" applyNumberFormat="1" applyFont="1" applyFill="1" applyBorder="1"/>
    <xf numFmtId="43" fontId="0" fillId="0" borderId="0" xfId="0" applyNumberFormat="1" applyBorder="1" applyAlignment="1"/>
    <xf numFmtId="0" fontId="29" fillId="0" borderId="0" xfId="0" applyFont="1" applyBorder="1" applyAlignment="1">
      <alignment horizontal="center"/>
    </xf>
    <xf numFmtId="43" fontId="0" fillId="0" borderId="0" xfId="1" applyNumberFormat="1" applyFont="1" applyBorder="1" applyAlignment="1"/>
    <xf numFmtId="0" fontId="0" fillId="0" borderId="5" xfId="1" applyNumberFormat="1" applyFont="1" applyFill="1" applyBorder="1"/>
    <xf numFmtId="0" fontId="0" fillId="0" borderId="79" xfId="1" applyNumberFormat="1" applyFont="1" applyFill="1" applyBorder="1"/>
    <xf numFmtId="43" fontId="6" fillId="8" borderId="80" xfId="1" applyNumberFormat="1" applyFont="1" applyFill="1" applyBorder="1"/>
    <xf numFmtId="0" fontId="0" fillId="0" borderId="76" xfId="1" applyNumberFormat="1" applyFont="1" applyFill="1" applyBorder="1"/>
    <xf numFmtId="0" fontId="0" fillId="0" borderId="76" xfId="0" applyFill="1" applyBorder="1" applyAlignment="1">
      <alignment horizontal="center"/>
    </xf>
    <xf numFmtId="166" fontId="15" fillId="0" borderId="76" xfId="1" applyFont="1" applyFill="1" applyBorder="1"/>
    <xf numFmtId="0" fontId="0" fillId="0" borderId="52" xfId="0" applyBorder="1"/>
    <xf numFmtId="43" fontId="17" fillId="5" borderId="52" xfId="1" applyNumberFormat="1" applyFont="1" applyFill="1" applyBorder="1"/>
    <xf numFmtId="166" fontId="0" fillId="0" borderId="60" xfId="1" applyFont="1" applyBorder="1"/>
    <xf numFmtId="43" fontId="0" fillId="0" borderId="0" xfId="1" applyNumberFormat="1" applyFont="1" applyFill="1" applyBorder="1"/>
    <xf numFmtId="49" fontId="3" fillId="0" borderId="0" xfId="1" applyNumberFormat="1" applyFont="1" applyBorder="1"/>
    <xf numFmtId="1" fontId="25" fillId="0" borderId="7" xfId="0" applyNumberFormat="1" applyFont="1" applyBorder="1" applyAlignment="1">
      <alignment horizontal="center"/>
    </xf>
    <xf numFmtId="43" fontId="14" fillId="0" borderId="0" xfId="0" applyNumberFormat="1" applyFont="1" applyBorder="1" applyAlignment="1">
      <alignment horizontal="center"/>
    </xf>
    <xf numFmtId="49" fontId="3" fillId="0" borderId="0" xfId="1" applyNumberFormat="1" applyFont="1" applyBorder="1" applyAlignment="1"/>
    <xf numFmtId="0" fontId="0" fillId="0" borderId="67" xfId="0" applyBorder="1"/>
    <xf numFmtId="166" fontId="15" fillId="0" borderId="85" xfId="1" applyFont="1" applyBorder="1"/>
    <xf numFmtId="43" fontId="0" fillId="0" borderId="76" xfId="0" applyNumberFormat="1" applyBorder="1" applyAlignment="1">
      <alignment horizontal="center"/>
    </xf>
    <xf numFmtId="43" fontId="0" fillId="0" borderId="76" xfId="0" applyNumberFormat="1" applyBorder="1"/>
    <xf numFmtId="43" fontId="0" fillId="0" borderId="87" xfId="0" applyNumberFormat="1" applyBorder="1"/>
    <xf numFmtId="43" fontId="0" fillId="0" borderId="77" xfId="1" applyNumberFormat="1" applyFont="1" applyBorder="1"/>
    <xf numFmtId="166" fontId="0" fillId="0" borderId="76" xfId="1" applyFont="1" applyBorder="1" applyAlignment="1">
      <alignment horizontal="center"/>
    </xf>
    <xf numFmtId="0" fontId="0" fillId="0" borderId="53" xfId="0" applyBorder="1" applyAlignment="1">
      <alignment horizontal="center"/>
    </xf>
    <xf numFmtId="166" fontId="10" fillId="0" borderId="23" xfId="1" applyFont="1" applyBorder="1"/>
    <xf numFmtId="49" fontId="8" fillId="0" borderId="53" xfId="1" applyNumberFormat="1" applyFont="1" applyBorder="1" applyAlignment="1">
      <alignment horizontal="center"/>
    </xf>
    <xf numFmtId="166" fontId="0" fillId="0" borderId="0" xfId="1" applyFont="1" applyFill="1" applyBorder="1"/>
    <xf numFmtId="166" fontId="0" fillId="0" borderId="61" xfId="1" applyFont="1" applyBorder="1"/>
    <xf numFmtId="43" fontId="0" fillId="0" borderId="67" xfId="0" applyNumberFormat="1" applyBorder="1"/>
    <xf numFmtId="166" fontId="0" fillId="0" borderId="70" xfId="1" applyFont="1" applyBorder="1"/>
    <xf numFmtId="43" fontId="0" fillId="0" borderId="0" xfId="0" applyNumberFormat="1" applyFill="1" applyBorder="1" applyAlignment="1">
      <alignment horizontal="center"/>
    </xf>
    <xf numFmtId="166" fontId="3" fillId="0" borderId="0" xfId="1" applyFont="1" applyBorder="1"/>
    <xf numFmtId="43" fontId="17" fillId="0" borderId="52" xfId="1" applyNumberFormat="1" applyFont="1" applyBorder="1"/>
    <xf numFmtId="0" fontId="8" fillId="0" borderId="60" xfId="1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3" fontId="0" fillId="0" borderId="70" xfId="1" applyNumberFormat="1" applyFont="1" applyBorder="1"/>
    <xf numFmtId="0" fontId="0" fillId="0" borderId="60" xfId="0" applyBorder="1"/>
    <xf numFmtId="43" fontId="27" fillId="0" borderId="5" xfId="1" applyNumberFormat="1" applyFont="1" applyBorder="1"/>
    <xf numFmtId="43" fontId="0" fillId="0" borderId="23" xfId="1" applyNumberFormat="1" applyFont="1" applyBorder="1"/>
    <xf numFmtId="166" fontId="0" fillId="0" borderId="53" xfId="1" applyFont="1" applyBorder="1"/>
    <xf numFmtId="43" fontId="15" fillId="0" borderId="5" xfId="1" applyNumberFormat="1" applyFont="1" applyBorder="1"/>
    <xf numFmtId="0" fontId="1" fillId="0" borderId="61" xfId="0" applyFont="1" applyBorder="1"/>
    <xf numFmtId="166" fontId="0" fillId="0" borderId="91" xfId="1" applyFont="1" applyBorder="1" applyAlignment="1">
      <alignment horizontal="center"/>
    </xf>
    <xf numFmtId="0" fontId="0" fillId="0" borderId="91" xfId="0" applyBorder="1"/>
    <xf numFmtId="43" fontId="29" fillId="0" borderId="52" xfId="1" applyNumberFormat="1" applyFont="1" applyBorder="1"/>
    <xf numFmtId="0" fontId="13" fillId="0" borderId="8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43" fontId="0" fillId="0" borderId="0" xfId="0" applyNumberFormat="1" applyBorder="1" applyAlignment="1">
      <alignment vertical="center"/>
    </xf>
    <xf numFmtId="43" fontId="10" fillId="0" borderId="0" xfId="1" applyNumberFormat="1" applyFont="1" applyBorder="1" applyAlignment="1">
      <alignment horizontal="center"/>
    </xf>
    <xf numFmtId="43" fontId="27" fillId="0" borderId="0" xfId="1" applyNumberFormat="1" applyFont="1" applyBorder="1"/>
    <xf numFmtId="166" fontId="27" fillId="0" borderId="52" xfId="1" applyFont="1" applyBorder="1"/>
    <xf numFmtId="166" fontId="0" fillId="0" borderId="77" xfId="1" applyFont="1" applyBorder="1" applyAlignment="1">
      <alignment horizontal="center"/>
    </xf>
    <xf numFmtId="0" fontId="0" fillId="0" borderId="76" xfId="0" applyBorder="1"/>
    <xf numFmtId="0" fontId="10" fillId="0" borderId="87" xfId="1" applyNumberFormat="1" applyFont="1" applyBorder="1" applyAlignment="1">
      <alignment horizontal="center"/>
    </xf>
    <xf numFmtId="0" fontId="15" fillId="0" borderId="0" xfId="0" applyFont="1" applyBorder="1"/>
    <xf numFmtId="0" fontId="8" fillId="0" borderId="53" xfId="1" applyNumberFormat="1" applyFont="1" applyBorder="1"/>
    <xf numFmtId="166" fontId="10" fillId="0" borderId="0" xfId="1" applyFont="1" applyBorder="1" applyAlignment="1">
      <alignment horizontal="center" vertical="center"/>
    </xf>
    <xf numFmtId="166" fontId="10" fillId="0" borderId="0" xfId="1" applyFont="1" applyBorder="1"/>
    <xf numFmtId="0" fontId="8" fillId="0" borderId="61" xfId="1" applyNumberFormat="1" applyFont="1" applyBorder="1" applyAlignment="1"/>
    <xf numFmtId="0" fontId="0" fillId="0" borderId="0" xfId="0" applyBorder="1" applyAlignment="1">
      <alignment vertical="center"/>
    </xf>
    <xf numFmtId="0" fontId="8" fillId="0" borderId="53" xfId="0" applyFont="1" applyBorder="1" applyAlignment="1">
      <alignment vertical="center"/>
    </xf>
    <xf numFmtId="43" fontId="6" fillId="11" borderId="80" xfId="1" applyNumberFormat="1" applyFont="1" applyFill="1" applyBorder="1"/>
    <xf numFmtId="0" fontId="15" fillId="0" borderId="0" xfId="0" applyFont="1" applyAlignment="1">
      <alignment horizontal="left"/>
    </xf>
    <xf numFmtId="166" fontId="8" fillId="0" borderId="64" xfId="1" applyFont="1" applyBorder="1" applyAlignment="1">
      <alignment horizontal="center"/>
    </xf>
    <xf numFmtId="43" fontId="13" fillId="0" borderId="53" xfId="1" applyNumberFormat="1" applyFont="1" applyBorder="1"/>
    <xf numFmtId="43" fontId="3" fillId="0" borderId="67" xfId="1" applyNumberFormat="1" applyFont="1" applyBorder="1"/>
    <xf numFmtId="0" fontId="8" fillId="0" borderId="0" xfId="0" applyFont="1" applyBorder="1" applyAlignment="1">
      <alignment horizontal="center" vertical="center"/>
    </xf>
    <xf numFmtId="43" fontId="25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13" fillId="0" borderId="0" xfId="0" applyFont="1" applyBorder="1" applyAlignment="1">
      <alignment vertical="center"/>
    </xf>
    <xf numFmtId="166" fontId="3" fillId="0" borderId="53" xfId="1" applyFont="1" applyBorder="1"/>
    <xf numFmtId="166" fontId="4" fillId="0" borderId="76" xfId="1" applyFont="1" applyBorder="1"/>
    <xf numFmtId="166" fontId="4" fillId="0" borderId="0" xfId="1" applyFont="1" applyBorder="1"/>
    <xf numFmtId="49" fontId="3" fillId="0" borderId="53" xfId="1" applyNumberFormat="1" applyFont="1" applyBorder="1"/>
    <xf numFmtId="0" fontId="3" fillId="0" borderId="53" xfId="0" applyFont="1" applyBorder="1"/>
    <xf numFmtId="166" fontId="3" fillId="0" borderId="8" xfId="1" applyFont="1" applyBorder="1" applyAlignment="1">
      <alignment horizontal="center"/>
    </xf>
    <xf numFmtId="166" fontId="4" fillId="0" borderId="91" xfId="1" applyFont="1" applyBorder="1"/>
    <xf numFmtId="166" fontId="3" fillId="0" borderId="0" xfId="0" applyNumberFormat="1" applyFont="1" applyBorder="1"/>
    <xf numFmtId="0" fontId="13" fillId="0" borderId="78" xfId="1" applyNumberFormat="1" applyFont="1" applyBorder="1"/>
    <xf numFmtId="43" fontId="4" fillId="0" borderId="86" xfId="1" applyNumberFormat="1" applyFont="1" applyBorder="1"/>
    <xf numFmtId="43" fontId="3" fillId="0" borderId="68" xfId="1" applyNumberFormat="1" applyFont="1" applyBorder="1"/>
    <xf numFmtId="0" fontId="13" fillId="0" borderId="0" xfId="0" applyFont="1" applyBorder="1" applyAlignment="1">
      <alignment horizontal="center"/>
    </xf>
    <xf numFmtId="166" fontId="13" fillId="0" borderId="64" xfId="1" applyFont="1" applyBorder="1" applyAlignment="1">
      <alignment horizontal="center"/>
    </xf>
    <xf numFmtId="166" fontId="3" fillId="0" borderId="65" xfId="1" applyFont="1" applyBorder="1"/>
    <xf numFmtId="0" fontId="33" fillId="0" borderId="0" xfId="0" applyFont="1" applyBorder="1" applyAlignment="1">
      <alignment horizontal="center"/>
    </xf>
    <xf numFmtId="0" fontId="3" fillId="0" borderId="55" xfId="0" applyFont="1" applyBorder="1"/>
    <xf numFmtId="0" fontId="24" fillId="0" borderId="55" xfId="0" applyFont="1" applyFill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/>
    </xf>
    <xf numFmtId="43" fontId="29" fillId="0" borderId="0" xfId="0" applyNumberFormat="1" applyFont="1" applyFill="1" applyBorder="1" applyAlignment="1">
      <alignment horizontal="center"/>
    </xf>
    <xf numFmtId="43" fontId="29" fillId="0" borderId="0" xfId="0" applyNumberFormat="1" applyFont="1" applyFill="1" applyBorder="1" applyAlignment="1"/>
    <xf numFmtId="43" fontId="15" fillId="0" borderId="0" xfId="0" applyNumberFormat="1" applyFont="1" applyFill="1" applyBorder="1" applyAlignment="1"/>
    <xf numFmtId="0" fontId="0" fillId="0" borderId="0" xfId="0" applyFont="1" applyFill="1" applyAlignment="1">
      <alignment horizontal="center"/>
    </xf>
    <xf numFmtId="43" fontId="34" fillId="0" borderId="53" xfId="1" applyNumberFormat="1" applyFont="1" applyBorder="1"/>
    <xf numFmtId="43" fontId="35" fillId="0" borderId="0" xfId="0" applyNumberFormat="1" applyFont="1"/>
    <xf numFmtId="43" fontId="35" fillId="0" borderId="53" xfId="0" applyNumberFormat="1" applyFont="1" applyBorder="1"/>
    <xf numFmtId="43" fontId="35" fillId="0" borderId="7" xfId="0" applyNumberFormat="1" applyFont="1" applyBorder="1" applyAlignment="1">
      <alignment horizontal="center"/>
    </xf>
    <xf numFmtId="1" fontId="16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" fontId="6" fillId="0" borderId="53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5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166" fontId="8" fillId="0" borderId="0" xfId="1" applyFont="1" applyBorder="1" applyAlignment="1">
      <alignment horizontal="center"/>
    </xf>
    <xf numFmtId="49" fontId="29" fillId="0" borderId="0" xfId="0" applyNumberFormat="1" applyFont="1" applyBorder="1" applyAlignment="1">
      <alignment horizontal="center"/>
    </xf>
    <xf numFmtId="43" fontId="16" fillId="0" borderId="60" xfId="1" applyNumberFormat="1" applyFont="1" applyBorder="1"/>
    <xf numFmtId="43" fontId="35" fillId="0" borderId="0" xfId="0" applyNumberFormat="1" applyFont="1" applyBorder="1"/>
    <xf numFmtId="0" fontId="3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43" fontId="3" fillId="6" borderId="0" xfId="0" applyNumberFormat="1" applyFont="1" applyFill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3" fillId="0" borderId="0" xfId="1" applyNumberFormat="1" applyFont="1" applyBorder="1"/>
    <xf numFmtId="0" fontId="1" fillId="0" borderId="92" xfId="1" applyNumberFormat="1" applyFont="1" applyBorder="1" applyAlignment="1">
      <alignment horizontal="center"/>
    </xf>
    <xf numFmtId="166" fontId="10" fillId="0" borderId="92" xfId="1" applyFont="1" applyBorder="1"/>
    <xf numFmtId="0" fontId="10" fillId="0" borderId="92" xfId="0" applyFont="1" applyBorder="1"/>
    <xf numFmtId="0" fontId="13" fillId="0" borderId="92" xfId="1" applyNumberFormat="1" applyFont="1" applyBorder="1"/>
    <xf numFmtId="0" fontId="0" fillId="0" borderId="93" xfId="0" applyBorder="1"/>
    <xf numFmtId="0" fontId="10" fillId="0" borderId="94" xfId="0" applyFont="1" applyBorder="1"/>
    <xf numFmtId="0" fontId="15" fillId="0" borderId="0" xfId="0" applyFont="1" applyFill="1"/>
    <xf numFmtId="0" fontId="10" fillId="0" borderId="71" xfId="0" applyFont="1" applyBorder="1"/>
    <xf numFmtId="0" fontId="1" fillId="0" borderId="71" xfId="1" applyNumberFormat="1" applyFont="1" applyBorder="1" applyAlignment="1">
      <alignment horizontal="center"/>
    </xf>
    <xf numFmtId="0" fontId="13" fillId="0" borderId="71" xfId="1" applyNumberFormat="1" applyFont="1" applyBorder="1"/>
    <xf numFmtId="166" fontId="10" fillId="0" borderId="71" xfId="1" applyFont="1" applyBorder="1"/>
    <xf numFmtId="0" fontId="0" fillId="0" borderId="95" xfId="0" applyBorder="1"/>
    <xf numFmtId="43" fontId="0" fillId="0" borderId="29" xfId="0" applyNumberFormat="1" applyBorder="1"/>
    <xf numFmtId="0" fontId="22" fillId="0" borderId="1" xfId="0" applyFont="1" applyBorder="1"/>
    <xf numFmtId="0" fontId="22" fillId="0" borderId="1" xfId="0" applyFont="1" applyBorder="1" applyAlignment="1">
      <alignment horizontal="center" vertical="center"/>
    </xf>
    <xf numFmtId="43" fontId="22" fillId="0" borderId="1" xfId="0" applyNumberFormat="1" applyFont="1" applyBorder="1"/>
    <xf numFmtId="0" fontId="22" fillId="0" borderId="5" xfId="0" applyFont="1" applyBorder="1"/>
    <xf numFmtId="0" fontId="37" fillId="0" borderId="0" xfId="0" applyFont="1"/>
    <xf numFmtId="0" fontId="10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1" xfId="0" applyFont="1" applyBorder="1"/>
    <xf numFmtId="9" fontId="10" fillId="0" borderId="1" xfId="0" applyNumberFormat="1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0" fontId="13" fillId="0" borderId="71" xfId="0" applyFont="1" applyBorder="1" applyAlignment="1">
      <alignment horizontal="center"/>
    </xf>
    <xf numFmtId="166" fontId="0" fillId="0" borderId="96" xfId="1" applyFont="1" applyBorder="1"/>
    <xf numFmtId="0" fontId="10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/>
    <xf numFmtId="43" fontId="35" fillId="0" borderId="0" xfId="0" applyNumberFormat="1" applyFont="1" applyBorder="1" applyAlignment="1">
      <alignment horizontal="center"/>
    </xf>
    <xf numFmtId="0" fontId="36" fillId="0" borderId="0" xfId="0" applyFont="1"/>
    <xf numFmtId="49" fontId="2" fillId="0" borderId="0" xfId="1" applyNumberFormat="1" applyFont="1" applyBorder="1"/>
    <xf numFmtId="43" fontId="25" fillId="0" borderId="53" xfId="0" applyNumberFormat="1" applyFont="1" applyBorder="1"/>
    <xf numFmtId="0" fontId="25" fillId="0" borderId="0" xfId="0" applyFont="1" applyBorder="1" applyAlignment="1">
      <alignment horizontal="center"/>
    </xf>
    <xf numFmtId="43" fontId="36" fillId="0" borderId="53" xfId="0" applyNumberFormat="1" applyFont="1" applyBorder="1"/>
    <xf numFmtId="43" fontId="17" fillId="0" borderId="0" xfId="1" applyNumberFormat="1" applyFont="1" applyFill="1" applyBorder="1"/>
    <xf numFmtId="164" fontId="3" fillId="0" borderId="0" xfId="0" applyNumberFormat="1" applyFont="1" applyBorder="1" applyAlignment="1"/>
    <xf numFmtId="43" fontId="10" fillId="0" borderId="0" xfId="1" applyNumberFormat="1" applyFont="1" applyFill="1" applyBorder="1"/>
    <xf numFmtId="0" fontId="14" fillId="0" borderId="0" xfId="0" applyFont="1" applyFill="1" applyBorder="1" applyAlignment="1">
      <alignment horizontal="center"/>
    </xf>
    <xf numFmtId="43" fontId="24" fillId="0" borderId="0" xfId="0" applyNumberFormat="1" applyFont="1" applyFill="1" applyAlignment="1">
      <alignment horizontal="center" vertical="center"/>
    </xf>
    <xf numFmtId="43" fontId="12" fillId="0" borderId="0" xfId="0" applyNumberFormat="1" applyFont="1" applyFill="1" applyAlignment="1">
      <alignment horizontal="center" vertical="center"/>
    </xf>
    <xf numFmtId="43" fontId="3" fillId="0" borderId="53" xfId="1" applyNumberFormat="1" applyFont="1" applyBorder="1"/>
    <xf numFmtId="166" fontId="0" fillId="0" borderId="53" xfId="1" applyFont="1" applyBorder="1" applyAlignment="1"/>
    <xf numFmtId="43" fontId="17" fillId="0" borderId="97" xfId="1" applyNumberFormat="1" applyFont="1" applyBorder="1"/>
    <xf numFmtId="43" fontId="17" fillId="0" borderId="59" xfId="1" applyNumberFormat="1" applyFont="1" applyBorder="1"/>
    <xf numFmtId="0" fontId="4" fillId="0" borderId="53" xfId="0" applyFont="1" applyBorder="1" applyAlignment="1">
      <alignment horizontal="left"/>
    </xf>
    <xf numFmtId="0" fontId="15" fillId="0" borderId="53" xfId="0" applyFont="1" applyBorder="1" applyAlignment="1">
      <alignment horizontal="center"/>
    </xf>
    <xf numFmtId="43" fontId="4" fillId="0" borderId="0" xfId="1" applyNumberFormat="1" applyFont="1" applyBorder="1" applyAlignment="1">
      <alignment horizontal="center"/>
    </xf>
    <xf numFmtId="43" fontId="39" fillId="0" borderId="0" xfId="0" applyNumberFormat="1" applyFont="1" applyAlignment="1">
      <alignment vertical="center"/>
    </xf>
    <xf numFmtId="43" fontId="5" fillId="0" borderId="52" xfId="1" applyNumberFormat="1" applyFont="1" applyBorder="1" applyAlignment="1">
      <alignment vertical="center"/>
    </xf>
    <xf numFmtId="43" fontId="39" fillId="0" borderId="0" xfId="0" applyNumberFormat="1" applyFont="1" applyAlignment="1">
      <alignment horizontal="center" vertical="center"/>
    </xf>
    <xf numFmtId="43" fontId="39" fillId="0" borderId="66" xfId="1" applyNumberFormat="1" applyFont="1" applyBorder="1" applyAlignment="1">
      <alignment horizontal="center" vertical="center"/>
    </xf>
    <xf numFmtId="43" fontId="39" fillId="0" borderId="64" xfId="1" applyNumberFormat="1" applyFont="1" applyBorder="1" applyAlignment="1">
      <alignment horizontal="center" vertical="center"/>
    </xf>
    <xf numFmtId="43" fontId="39" fillId="11" borderId="68" xfId="1" applyNumberFormat="1" applyFont="1" applyFill="1" applyBorder="1" applyAlignment="1">
      <alignment vertical="center"/>
    </xf>
    <xf numFmtId="164" fontId="3" fillId="0" borderId="53" xfId="0" applyNumberFormat="1" applyFont="1" applyBorder="1" applyAlignment="1"/>
    <xf numFmtId="0" fontId="3" fillId="0" borderId="53" xfId="0" applyFont="1" applyBorder="1" applyAlignment="1"/>
    <xf numFmtId="43" fontId="3" fillId="0" borderId="53" xfId="0" applyNumberFormat="1" applyFont="1" applyBorder="1" applyAlignment="1"/>
    <xf numFmtId="43" fontId="6" fillId="0" borderId="0" xfId="0" applyNumberFormat="1" applyFont="1" applyBorder="1" applyAlignment="1"/>
    <xf numFmtId="43" fontId="6" fillId="0" borderId="53" xfId="0" applyNumberFormat="1" applyFont="1" applyBorder="1" applyAlignment="1"/>
    <xf numFmtId="49" fontId="10" fillId="0" borderId="0" xfId="1" applyNumberFormat="1" applyFont="1" applyBorder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18" fillId="0" borderId="9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/>
    </xf>
    <xf numFmtId="0" fontId="22" fillId="0" borderId="0" xfId="0" applyFont="1"/>
    <xf numFmtId="49" fontId="0" fillId="0" borderId="0" xfId="0" applyNumberFormat="1" applyBorder="1" applyAlignment="1">
      <alignment horizontal="center"/>
    </xf>
    <xf numFmtId="49" fontId="31" fillId="0" borderId="10" xfId="1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49" fontId="31" fillId="0" borderId="11" xfId="1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49" fontId="4" fillId="0" borderId="11" xfId="1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3" fontId="31" fillId="0" borderId="11" xfId="1" applyNumberFormat="1" applyFont="1" applyBorder="1"/>
    <xf numFmtId="0" fontId="40" fillId="0" borderId="11" xfId="0" applyFont="1" applyBorder="1"/>
    <xf numFmtId="43" fontId="16" fillId="0" borderId="11" xfId="1" applyNumberFormat="1" applyFont="1" applyBorder="1"/>
    <xf numFmtId="0" fontId="6" fillId="0" borderId="11" xfId="0" applyFont="1" applyBorder="1"/>
    <xf numFmtId="43" fontId="10" fillId="0" borderId="10" xfId="0" applyNumberFormat="1" applyFont="1" applyBorder="1"/>
    <xf numFmtId="0" fontId="10" fillId="0" borderId="10" xfId="0" applyFont="1" applyBorder="1"/>
    <xf numFmtId="43" fontId="10" fillId="0" borderId="11" xfId="0" applyNumberFormat="1" applyFont="1" applyBorder="1"/>
    <xf numFmtId="0" fontId="2" fillId="0" borderId="71" xfId="0" applyFont="1" applyBorder="1" applyAlignment="1">
      <alignment horizontal="center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Border="1" applyAlignment="1">
      <alignment horizontal="right"/>
    </xf>
    <xf numFmtId="49" fontId="3" fillId="0" borderId="0" xfId="1" applyNumberFormat="1" applyFont="1" applyBorder="1" applyAlignment="1">
      <alignment horizontal="right"/>
    </xf>
    <xf numFmtId="166" fontId="3" fillId="0" borderId="0" xfId="1" applyFont="1" applyBorder="1" applyAlignment="1">
      <alignment horizontal="right"/>
    </xf>
    <xf numFmtId="49" fontId="10" fillId="0" borderId="0" xfId="1" applyNumberFormat="1" applyFont="1" applyBorder="1" applyAlignment="1">
      <alignment horizontal="right"/>
    </xf>
    <xf numFmtId="43" fontId="23" fillId="0" borderId="0" xfId="0" applyNumberFormat="1" applyFont="1" applyBorder="1" applyAlignment="1">
      <alignment horizontal="right"/>
    </xf>
    <xf numFmtId="43" fontId="0" fillId="0" borderId="8" xfId="0" applyNumberFormat="1" applyBorder="1"/>
    <xf numFmtId="43" fontId="23" fillId="0" borderId="8" xfId="0" applyNumberFormat="1" applyFont="1" applyBorder="1" applyAlignment="1">
      <alignment horizontal="right"/>
    </xf>
    <xf numFmtId="43" fontId="23" fillId="0" borderId="3" xfId="0" applyNumberFormat="1" applyFont="1" applyBorder="1" applyAlignment="1">
      <alignment horizontal="right"/>
    </xf>
    <xf numFmtId="49" fontId="31" fillId="0" borderId="0" xfId="1" applyNumberFormat="1" applyFont="1" applyBorder="1" applyAlignment="1">
      <alignment horizontal="center"/>
    </xf>
    <xf numFmtId="43" fontId="10" fillId="0" borderId="0" xfId="0" applyNumberFormat="1" applyFont="1" applyBorder="1"/>
    <xf numFmtId="43" fontId="31" fillId="0" borderId="0" xfId="1" applyNumberFormat="1" applyFont="1" applyBorder="1"/>
    <xf numFmtId="0" fontId="40" fillId="0" borderId="0" xfId="0" applyFont="1" applyBorder="1"/>
    <xf numFmtId="43" fontId="14" fillId="0" borderId="0" xfId="1" applyNumberFormat="1" applyFont="1" applyBorder="1" applyAlignment="1"/>
    <xf numFmtId="43" fontId="31" fillId="0" borderId="0" xfId="1" applyNumberFormat="1" applyFont="1" applyBorder="1" applyAlignment="1"/>
    <xf numFmtId="2" fontId="0" fillId="0" borderId="25" xfId="0" applyNumberFormat="1" applyBorder="1"/>
    <xf numFmtId="2" fontId="0" fillId="0" borderId="24" xfId="0" applyNumberFormat="1" applyBorder="1"/>
    <xf numFmtId="2" fontId="0" fillId="0" borderId="26" xfId="0" applyNumberFormat="1" applyBorder="1"/>
    <xf numFmtId="167" fontId="0" fillId="0" borderId="24" xfId="0" applyNumberFormat="1" applyBorder="1"/>
    <xf numFmtId="167" fontId="0" fillId="0" borderId="25" xfId="0" applyNumberFormat="1" applyBorder="1"/>
    <xf numFmtId="167" fontId="0" fillId="0" borderId="26" xfId="0" applyNumberFormat="1" applyBorder="1"/>
    <xf numFmtId="2" fontId="0" fillId="0" borderId="0" xfId="0" applyNumberFormat="1" applyAlignment="1">
      <alignment horizontal="center"/>
    </xf>
    <xf numFmtId="0" fontId="41" fillId="0" borderId="25" xfId="0" applyFont="1" applyBorder="1"/>
    <xf numFmtId="0" fontId="41" fillId="0" borderId="28" xfId="0" applyFont="1" applyBorder="1"/>
    <xf numFmtId="0" fontId="0" fillId="0" borderId="25" xfId="0" applyNumberFormat="1" applyBorder="1" applyAlignment="1">
      <alignment horizontal="center" vertical="center"/>
    </xf>
    <xf numFmtId="43" fontId="23" fillId="0" borderId="2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center"/>
    </xf>
    <xf numFmtId="0" fontId="42" fillId="0" borderId="1" xfId="0" applyFont="1" applyBorder="1"/>
    <xf numFmtId="43" fontId="38" fillId="0" borderId="1" xfId="0" applyNumberFormat="1" applyFont="1" applyBorder="1"/>
    <xf numFmtId="0" fontId="2" fillId="0" borderId="1" xfId="0" applyFont="1" applyBorder="1"/>
    <xf numFmtId="0" fontId="0" fillId="0" borderId="20" xfId="0" applyBorder="1"/>
    <xf numFmtId="0" fontId="0" fillId="15" borderId="20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8" borderId="12" xfId="0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43" fontId="3" fillId="0" borderId="0" xfId="0" applyNumberFormat="1" applyFont="1" applyFill="1" applyBorder="1"/>
    <xf numFmtId="0" fontId="22" fillId="0" borderId="4" xfId="0" applyFont="1" applyBorder="1" applyAlignment="1">
      <alignment horizontal="center"/>
    </xf>
    <xf numFmtId="0" fontId="3" fillId="10" borderId="63" xfId="0" applyFont="1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0" fontId="3" fillId="0" borderId="2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/>
    </xf>
    <xf numFmtId="43" fontId="3" fillId="6" borderId="0" xfId="0" applyNumberFormat="1" applyFont="1" applyFill="1" applyBorder="1" applyAlignment="1">
      <alignment horizontal="center"/>
    </xf>
    <xf numFmtId="43" fontId="3" fillId="0" borderId="0" xfId="0" applyNumberFormat="1" applyFont="1"/>
    <xf numFmtId="0" fontId="3" fillId="0" borderId="0" xfId="0" applyFont="1" applyFill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3" fontId="0" fillId="0" borderId="2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3" fontId="0" fillId="0" borderId="95" xfId="0" applyNumberFormat="1" applyBorder="1" applyAlignment="1">
      <alignment horizontal="center" vertical="center"/>
    </xf>
    <xf numFmtId="43" fontId="41" fillId="0" borderId="25" xfId="0" applyNumberFormat="1" applyFont="1" applyBorder="1" applyAlignment="1">
      <alignment horizontal="center" vertical="center"/>
    </xf>
    <xf numFmtId="43" fontId="0" fillId="0" borderId="24" xfId="0" applyNumberFormat="1" applyBorder="1" applyAlignment="1">
      <alignment horizontal="center" vertical="center"/>
    </xf>
    <xf numFmtId="43" fontId="0" fillId="0" borderId="29" xfId="0" applyNumberFormat="1" applyBorder="1" applyAlignment="1">
      <alignment horizontal="center" vertical="center"/>
    </xf>
    <xf numFmtId="43" fontId="0" fillId="0" borderId="55" xfId="0" applyNumberFormat="1" applyBorder="1"/>
    <xf numFmtId="43" fontId="43" fillId="0" borderId="0" xfId="0" applyNumberFormat="1" applyFont="1"/>
    <xf numFmtId="43" fontId="38" fillId="0" borderId="1" xfId="0" applyNumberFormat="1" applyFont="1" applyBorder="1" applyAlignment="1">
      <alignment horizontal="center" vertical="center"/>
    </xf>
    <xf numFmtId="0" fontId="43" fillId="0" borderId="0" xfId="0" applyFont="1"/>
    <xf numFmtId="2" fontId="42" fillId="0" borderId="1" xfId="0" applyNumberFormat="1" applyFont="1" applyBorder="1"/>
    <xf numFmtId="1" fontId="0" fillId="0" borderId="0" xfId="0" applyNumberFormat="1" applyAlignment="1">
      <alignment horizontal="center"/>
    </xf>
    <xf numFmtId="0" fontId="36" fillId="0" borderId="0" xfId="0" applyFont="1" applyBorder="1" applyAlignment="1">
      <alignment horizontal="center"/>
    </xf>
    <xf numFmtId="0" fontId="41" fillId="0" borderId="25" xfId="0" applyFont="1" applyBorder="1" applyAlignment="1">
      <alignment horizontal="center" vertical="center"/>
    </xf>
    <xf numFmtId="165" fontId="41" fillId="0" borderId="25" xfId="0" applyNumberFormat="1" applyFont="1" applyBorder="1"/>
    <xf numFmtId="2" fontId="41" fillId="0" borderId="25" xfId="0" applyNumberFormat="1" applyFont="1" applyBorder="1"/>
    <xf numFmtId="167" fontId="41" fillId="0" borderId="25" xfId="0" applyNumberFormat="1" applyFont="1" applyBorder="1"/>
    <xf numFmtId="0" fontId="41" fillId="0" borderId="5" xfId="0" applyFont="1" applyBorder="1"/>
    <xf numFmtId="0" fontId="41" fillId="0" borderId="0" xfId="0" applyFont="1"/>
    <xf numFmtId="43" fontId="0" fillId="7" borderId="25" xfId="0" applyNumberForma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44" fillId="0" borderId="0" xfId="0" applyNumberFormat="1" applyFont="1" applyBorder="1" applyAlignment="1">
      <alignment horizontal="center"/>
    </xf>
    <xf numFmtId="49" fontId="18" fillId="0" borderId="12" xfId="0" applyNumberFormat="1" applyFont="1" applyBorder="1" applyAlignment="1">
      <alignment horizontal="center" vertical="center"/>
    </xf>
    <xf numFmtId="0" fontId="44" fillId="0" borderId="0" xfId="0" applyFont="1" applyBorder="1" applyAlignment="1">
      <alignment horizontal="center"/>
    </xf>
    <xf numFmtId="0" fontId="44" fillId="0" borderId="8" xfId="0" applyFont="1" applyBorder="1" applyAlignment="1">
      <alignment horizontal="center"/>
    </xf>
    <xf numFmtId="49" fontId="44" fillId="0" borderId="8" xfId="0" applyNumberFormat="1" applyFont="1" applyBorder="1" applyAlignment="1">
      <alignment horizontal="center"/>
    </xf>
    <xf numFmtId="0" fontId="44" fillId="0" borderId="3" xfId="0" applyFont="1" applyBorder="1" applyAlignment="1">
      <alignment horizontal="center"/>
    </xf>
    <xf numFmtId="49" fontId="44" fillId="0" borderId="3" xfId="0" applyNumberFormat="1" applyFont="1" applyBorder="1" applyAlignment="1">
      <alignment horizontal="center"/>
    </xf>
    <xf numFmtId="49" fontId="44" fillId="0" borderId="0" xfId="0" applyNumberFormat="1" applyFont="1" applyAlignment="1">
      <alignment horizontal="center"/>
    </xf>
    <xf numFmtId="0" fontId="44" fillId="0" borderId="0" xfId="0" applyFont="1" applyAlignment="1">
      <alignment horizontal="center"/>
    </xf>
    <xf numFmtId="49" fontId="3" fillId="0" borderId="99" xfId="0" applyNumberFormat="1" applyFont="1" applyBorder="1"/>
    <xf numFmtId="0" fontId="3" fillId="8" borderId="100" xfId="0" applyFont="1" applyFill="1" applyBorder="1" applyAlignment="1">
      <alignment horizontal="center"/>
    </xf>
    <xf numFmtId="0" fontId="3" fillId="8" borderId="101" xfId="0" applyFont="1" applyFill="1" applyBorder="1"/>
    <xf numFmtId="0" fontId="3" fillId="6" borderId="8" xfId="0" applyFont="1" applyFill="1" applyBorder="1" applyAlignment="1">
      <alignment horizontal="left"/>
    </xf>
    <xf numFmtId="43" fontId="3" fillId="0" borderId="1" xfId="0" applyNumberFormat="1" applyFont="1" applyFill="1" applyBorder="1"/>
    <xf numFmtId="0" fontId="3" fillId="8" borderId="1" xfId="0" applyFont="1" applyFill="1" applyBorder="1"/>
    <xf numFmtId="0" fontId="3" fillId="6" borderId="20" xfId="0" applyFont="1" applyFill="1" applyBorder="1" applyAlignment="1">
      <alignment horizontal="left"/>
    </xf>
    <xf numFmtId="1" fontId="3" fillId="8" borderId="103" xfId="0" applyNumberFormat="1" applyFont="1" applyFill="1" applyBorder="1"/>
    <xf numFmtId="43" fontId="3" fillId="0" borderId="12" xfId="0" applyNumberFormat="1" applyFont="1" applyFill="1" applyBorder="1"/>
    <xf numFmtId="0" fontId="6" fillId="0" borderId="13" xfId="0" applyNumberFormat="1" applyFont="1" applyFill="1" applyBorder="1" applyAlignment="1">
      <alignment horizontal="center"/>
    </xf>
    <xf numFmtId="49" fontId="3" fillId="0" borderId="99" xfId="0" applyNumberFormat="1" applyFont="1" applyFill="1" applyBorder="1"/>
    <xf numFmtId="49" fontId="3" fillId="0" borderId="105" xfId="0" applyNumberFormat="1" applyFont="1" applyBorder="1"/>
    <xf numFmtId="0" fontId="3" fillId="6" borderId="107" xfId="0" applyFont="1" applyFill="1" applyBorder="1" applyAlignment="1">
      <alignment horizontal="left"/>
    </xf>
    <xf numFmtId="1" fontId="3" fillId="8" borderId="106" xfId="0" applyNumberFormat="1" applyFont="1" applyFill="1" applyBorder="1"/>
    <xf numFmtId="10" fontId="0" fillId="0" borderId="0" xfId="0" applyNumberFormat="1" applyAlignment="1">
      <alignment horizontal="center"/>
    </xf>
    <xf numFmtId="43" fontId="3" fillId="8" borderId="1" xfId="0" applyNumberFormat="1" applyFont="1" applyFill="1" applyBorder="1"/>
    <xf numFmtId="43" fontId="3" fillId="8" borderId="95" xfId="0" applyNumberFormat="1" applyFont="1" applyFill="1" applyBorder="1"/>
    <xf numFmtId="43" fontId="3" fillId="8" borderId="10" xfId="0" applyNumberFormat="1" applyFont="1" applyFill="1" applyBorder="1"/>
    <xf numFmtId="16" fontId="3" fillId="6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43" fontId="3" fillId="0" borderId="13" xfId="0" applyNumberFormat="1" applyFont="1" applyFill="1" applyBorder="1"/>
    <xf numFmtId="49" fontId="6" fillId="0" borderId="6" xfId="0" applyNumberFormat="1" applyFont="1" applyBorder="1" applyAlignment="1">
      <alignment horizontal="center"/>
    </xf>
    <xf numFmtId="0" fontId="3" fillId="26" borderId="1" xfId="0" applyFont="1" applyFill="1" applyBorder="1"/>
    <xf numFmtId="43" fontId="3" fillId="26" borderId="1" xfId="0" applyNumberFormat="1" applyFont="1" applyFill="1" applyBorder="1"/>
    <xf numFmtId="164" fontId="0" fillId="6" borderId="1" xfId="0" applyNumberFormat="1" applyFill="1" applyBorder="1" applyAlignment="1">
      <alignment horizontal="center"/>
    </xf>
    <xf numFmtId="16" fontId="0" fillId="6" borderId="1" xfId="0" applyNumberFormat="1" applyFill="1" applyBorder="1" applyAlignment="1">
      <alignment horizontal="center"/>
    </xf>
    <xf numFmtId="164" fontId="3" fillId="6" borderId="1" xfId="0" applyNumberFormat="1" applyFont="1" applyFill="1" applyBorder="1" applyAlignment="1">
      <alignment horizontal="center"/>
    </xf>
    <xf numFmtId="16" fontId="3" fillId="6" borderId="1" xfId="0" applyNumberFormat="1" applyFont="1" applyFill="1" applyBorder="1"/>
    <xf numFmtId="0" fontId="3" fillId="6" borderId="1" xfId="0" applyFont="1" applyFill="1" applyBorder="1" applyAlignment="1">
      <alignment horizontal="center"/>
    </xf>
    <xf numFmtId="49" fontId="3" fillId="0" borderId="12" xfId="0" applyNumberFormat="1" applyFont="1" applyBorder="1"/>
    <xf numFmtId="49" fontId="3" fillId="0" borderId="12" xfId="0" applyNumberFormat="1" applyFont="1" applyFill="1" applyBorder="1"/>
    <xf numFmtId="0" fontId="3" fillId="26" borderId="100" xfId="0" applyFont="1" applyFill="1" applyBorder="1" applyAlignment="1">
      <alignment horizontal="center"/>
    </xf>
    <xf numFmtId="0" fontId="3" fillId="26" borderId="101" xfId="0" applyFont="1" applyFill="1" applyBorder="1"/>
    <xf numFmtId="0" fontId="3" fillId="26" borderId="103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left"/>
    </xf>
    <xf numFmtId="43" fontId="3" fillId="0" borderId="13" xfId="0" applyNumberFormat="1" applyFont="1" applyFill="1" applyBorder="1" applyAlignment="1">
      <alignment horizontal="center"/>
    </xf>
    <xf numFmtId="0" fontId="3" fillId="26" borderId="100" xfId="0" applyFont="1" applyFill="1" applyBorder="1"/>
    <xf numFmtId="43" fontId="3" fillId="26" borderId="101" xfId="0" applyNumberFormat="1" applyFont="1" applyFill="1" applyBorder="1"/>
    <xf numFmtId="43" fontId="3" fillId="26" borderId="102" xfId="0" applyNumberFormat="1" applyFont="1" applyFill="1" applyBorder="1"/>
    <xf numFmtId="0" fontId="3" fillId="26" borderId="103" xfId="0" applyFont="1" applyFill="1" applyBorder="1"/>
    <xf numFmtId="43" fontId="3" fillId="26" borderId="104" xfId="0" applyNumberFormat="1" applyFont="1" applyFill="1" applyBorder="1"/>
    <xf numFmtId="43" fontId="38" fillId="0" borderId="12" xfId="0" applyNumberFormat="1" applyFont="1" applyFill="1" applyBorder="1"/>
    <xf numFmtId="0" fontId="0" fillId="0" borderId="0" xfId="0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0" fillId="0" borderId="0" xfId="0"/>
    <xf numFmtId="0" fontId="0" fillId="0" borderId="109" xfId="0" applyBorder="1" applyAlignment="1"/>
    <xf numFmtId="0" fontId="0" fillId="0" borderId="110" xfId="0" applyBorder="1" applyAlignment="1">
      <alignment horizontal="center"/>
    </xf>
    <xf numFmtId="0" fontId="0" fillId="0" borderId="0" xfId="0" applyFill="1" applyBorder="1" applyAlignment="1"/>
    <xf numFmtId="0" fontId="24" fillId="0" borderId="0" xfId="0" applyFont="1" applyFill="1" applyBorder="1" applyAlignment="1">
      <alignment horizontal="left"/>
    </xf>
    <xf numFmtId="43" fontId="15" fillId="0" borderId="0" xfId="1" applyNumberFormat="1" applyFont="1" applyFill="1" applyBorder="1"/>
    <xf numFmtId="0" fontId="30" fillId="0" borderId="0" xfId="0" applyFont="1" applyBorder="1" applyAlignment="1"/>
    <xf numFmtId="0" fontId="0" fillId="0" borderId="109" xfId="0" applyBorder="1"/>
    <xf numFmtId="0" fontId="0" fillId="0" borderId="110" xfId="0" applyBorder="1"/>
    <xf numFmtId="0" fontId="1" fillId="0" borderId="118" xfId="0" applyFont="1" applyBorder="1" applyAlignment="1">
      <alignment horizontal="center"/>
    </xf>
    <xf numFmtId="0" fontId="0" fillId="0" borderId="119" xfId="0" applyBorder="1"/>
    <xf numFmtId="0" fontId="15" fillId="0" borderId="60" xfId="1" applyNumberFormat="1" applyFont="1" applyBorder="1"/>
    <xf numFmtId="0" fontId="15" fillId="0" borderId="61" xfId="1" applyNumberFormat="1" applyFont="1" applyBorder="1"/>
    <xf numFmtId="0" fontId="0" fillId="0" borderId="120" xfId="0" applyBorder="1"/>
    <xf numFmtId="0" fontId="0" fillId="0" borderId="118" xfId="0" applyBorder="1"/>
    <xf numFmtId="0" fontId="1" fillId="0" borderId="119" xfId="0" applyFont="1" applyBorder="1" applyAlignment="1">
      <alignment horizontal="center"/>
    </xf>
    <xf numFmtId="43" fontId="15" fillId="0" borderId="120" xfId="1" applyNumberFormat="1" applyFont="1" applyBorder="1"/>
    <xf numFmtId="0" fontId="1" fillId="0" borderId="93" xfId="0" applyFont="1" applyBorder="1" applyAlignment="1">
      <alignment horizontal="center"/>
    </xf>
    <xf numFmtId="0" fontId="15" fillId="0" borderId="121" xfId="0" applyFont="1" applyFill="1" applyBorder="1" applyAlignment="1">
      <alignment horizontal="center"/>
    </xf>
    <xf numFmtId="0" fontId="15" fillId="0" borderId="121" xfId="1" applyNumberFormat="1" applyFont="1" applyBorder="1"/>
    <xf numFmtId="0" fontId="0" fillId="0" borderId="122" xfId="0" applyFill="1" applyBorder="1" applyAlignment="1">
      <alignment horizontal="center"/>
    </xf>
    <xf numFmtId="0" fontId="0" fillId="0" borderId="121" xfId="0" applyFill="1" applyBorder="1"/>
    <xf numFmtId="0" fontId="0" fillId="0" borderId="123" xfId="0" applyFill="1" applyBorder="1"/>
    <xf numFmtId="0" fontId="0" fillId="0" borderId="109" xfId="0" applyFill="1" applyBorder="1"/>
    <xf numFmtId="0" fontId="0" fillId="27" borderId="121" xfId="0" applyFill="1" applyBorder="1"/>
    <xf numFmtId="0" fontId="0" fillId="27" borderId="124" xfId="0" applyFill="1" applyBorder="1" applyAlignment="1">
      <alignment horizontal="center"/>
    </xf>
    <xf numFmtId="0" fontId="15" fillId="27" borderId="121" xfId="0" applyFont="1" applyFill="1" applyBorder="1" applyAlignment="1">
      <alignment horizontal="center"/>
    </xf>
    <xf numFmtId="0" fontId="0" fillId="0" borderId="123" xfId="0" applyBorder="1"/>
    <xf numFmtId="43" fontId="29" fillId="5" borderId="125" xfId="1" applyNumberFormat="1" applyFont="1" applyFill="1" applyBorder="1"/>
    <xf numFmtId="43" fontId="29" fillId="4" borderId="126" xfId="1" applyNumberFormat="1" applyFont="1" applyFill="1" applyBorder="1"/>
    <xf numFmtId="0" fontId="0" fillId="0" borderId="123" xfId="0" applyFill="1" applyBorder="1" applyAlignment="1"/>
    <xf numFmtId="0" fontId="0" fillId="0" borderId="109" xfId="0" applyFill="1" applyBorder="1" applyAlignment="1"/>
    <xf numFmtId="43" fontId="15" fillId="8" borderId="125" xfId="1" applyNumberFormat="1" applyFont="1" applyFill="1" applyBorder="1"/>
    <xf numFmtId="0" fontId="0" fillId="0" borderId="0" xfId="0" applyFill="1" applyBorder="1" applyAlignment="1">
      <alignment horizontal="center"/>
    </xf>
    <xf numFmtId="43" fontId="15" fillId="0" borderId="123" xfId="1" applyNumberFormat="1" applyFont="1" applyBorder="1"/>
    <xf numFmtId="43" fontId="0" fillId="0" borderId="66" xfId="0" applyNumberFormat="1" applyBorder="1"/>
    <xf numFmtId="43" fontId="0" fillId="0" borderId="70" xfId="0" applyNumberFormat="1" applyBorder="1"/>
    <xf numFmtId="0" fontId="48" fillId="0" borderId="66" xfId="0" applyFont="1" applyBorder="1"/>
    <xf numFmtId="0" fontId="48" fillId="0" borderId="0" xfId="0" applyFont="1" applyBorder="1" applyAlignment="1">
      <alignment horizontal="center"/>
    </xf>
    <xf numFmtId="0" fontId="1" fillId="0" borderId="127" xfId="0" applyFont="1" applyBorder="1" applyAlignment="1">
      <alignment horizontal="center"/>
    </xf>
    <xf numFmtId="0" fontId="0" fillId="0" borderId="128" xfId="0" applyBorder="1"/>
    <xf numFmtId="43" fontId="29" fillId="0" borderId="129" xfId="0" applyNumberFormat="1" applyFont="1" applyBorder="1"/>
    <xf numFmtId="0" fontId="0" fillId="0" borderId="109" xfId="0" applyFill="1" applyBorder="1" applyAlignment="1">
      <alignment horizontal="center"/>
    </xf>
    <xf numFmtId="0" fontId="0" fillId="0" borderId="127" xfId="0" applyBorder="1"/>
    <xf numFmtId="43" fontId="29" fillId="0" borderId="131" xfId="0" applyNumberFormat="1" applyFont="1" applyBorder="1"/>
    <xf numFmtId="0" fontId="15" fillId="0" borderId="121" xfId="0" applyFont="1" applyBorder="1" applyAlignment="1">
      <alignment horizontal="center"/>
    </xf>
    <xf numFmtId="0" fontId="0" fillId="0" borderId="122" xfId="0" applyBorder="1" applyAlignment="1">
      <alignment horizontal="center"/>
    </xf>
    <xf numFmtId="0" fontId="15" fillId="0" borderId="121" xfId="0" applyFont="1" applyBorder="1" applyAlignment="1"/>
    <xf numFmtId="0" fontId="15" fillId="0" borderId="123" xfId="0" applyFont="1" applyBorder="1" applyAlignment="1"/>
    <xf numFmtId="0" fontId="15" fillId="0" borderId="109" xfId="0" applyFont="1" applyBorder="1" applyAlignment="1"/>
    <xf numFmtId="0" fontId="0" fillId="0" borderId="121" xfId="0" applyBorder="1"/>
    <xf numFmtId="0" fontId="0" fillId="0" borderId="124" xfId="0" applyBorder="1" applyAlignment="1">
      <alignment horizontal="center"/>
    </xf>
    <xf numFmtId="0" fontId="15" fillId="0" borderId="0" xfId="0" applyFont="1" applyBorder="1" applyAlignment="1"/>
    <xf numFmtId="43" fontId="15" fillId="11" borderId="126" xfId="1" applyNumberFormat="1" applyFont="1" applyFill="1" applyBorder="1"/>
    <xf numFmtId="0" fontId="36" fillId="0" borderId="0" xfId="0" applyFont="1" applyBorder="1" applyAlignment="1"/>
    <xf numFmtId="0" fontId="36" fillId="0" borderId="123" xfId="0" applyFont="1" applyBorder="1" applyAlignment="1"/>
    <xf numFmtId="0" fontId="36" fillId="0" borderId="109" xfId="0" applyFont="1" applyBorder="1" applyAlignment="1"/>
    <xf numFmtId="0" fontId="0" fillId="0" borderId="110" xfId="0" applyBorder="1" applyAlignment="1"/>
    <xf numFmtId="0" fontId="0" fillId="0" borderId="127" xfId="0" applyBorder="1" applyAlignment="1"/>
    <xf numFmtId="0" fontId="1" fillId="0" borderId="128" xfId="0" applyFont="1" applyBorder="1" applyAlignment="1">
      <alignment horizontal="center"/>
    </xf>
    <xf numFmtId="0" fontId="15" fillId="0" borderId="93" xfId="0" applyFont="1" applyBorder="1" applyAlignment="1"/>
    <xf numFmtId="0" fontId="0" fillId="0" borderId="123" xfId="0" applyBorder="1" applyAlignment="1"/>
    <xf numFmtId="0" fontId="1" fillId="0" borderId="128" xfId="0" applyFont="1" applyBorder="1"/>
    <xf numFmtId="0" fontId="0" fillId="0" borderId="119" xfId="0" applyFill="1" applyBorder="1" applyAlignment="1">
      <alignment wrapText="1"/>
    </xf>
    <xf numFmtId="0" fontId="0" fillId="0" borderId="119" xfId="0" applyFill="1" applyBorder="1" applyAlignment="1"/>
    <xf numFmtId="0" fontId="0" fillId="0" borderId="120" xfId="0" applyFill="1" applyBorder="1" applyAlignment="1"/>
    <xf numFmtId="0" fontId="30" fillId="0" borderId="123" xfId="0" applyFont="1" applyBorder="1" applyAlignment="1">
      <alignment vertical="center"/>
    </xf>
    <xf numFmtId="0" fontId="30" fillId="0" borderId="109" xfId="0" applyFont="1" applyBorder="1" applyAlignment="1">
      <alignment vertical="center"/>
    </xf>
    <xf numFmtId="166" fontId="0" fillId="0" borderId="123" xfId="1" applyFont="1" applyBorder="1"/>
    <xf numFmtId="166" fontId="0" fillId="0" borderId="109" xfId="1" applyFont="1" applyBorder="1"/>
    <xf numFmtId="0" fontId="30" fillId="0" borderId="110" xfId="0" applyFont="1" applyBorder="1" applyAlignment="1">
      <alignment vertical="center"/>
    </xf>
    <xf numFmtId="0" fontId="30" fillId="0" borderId="93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166" fontId="0" fillId="0" borderId="110" xfId="1" applyFont="1" applyBorder="1"/>
    <xf numFmtId="166" fontId="0" fillId="0" borderId="93" xfId="1" applyFont="1" applyBorder="1"/>
    <xf numFmtId="166" fontId="1" fillId="0" borderId="0" xfId="1" applyFont="1" applyBorder="1" applyAlignment="1">
      <alignment horizontal="center"/>
    </xf>
    <xf numFmtId="43" fontId="29" fillId="0" borderId="61" xfId="0" applyNumberFormat="1" applyFont="1" applyBorder="1"/>
    <xf numFmtId="43" fontId="29" fillId="0" borderId="60" xfId="0" applyNumberFormat="1" applyFont="1" applyBorder="1"/>
    <xf numFmtId="0" fontId="1" fillId="0" borderId="0" xfId="0" applyFont="1" applyBorder="1"/>
    <xf numFmtId="49" fontId="0" fillId="0" borderId="128" xfId="0" applyNumberFormat="1" applyBorder="1"/>
    <xf numFmtId="166" fontId="0" fillId="0" borderId="128" xfId="1" applyFont="1" applyBorder="1"/>
    <xf numFmtId="49" fontId="0" fillId="0" borderId="128" xfId="1" applyNumberFormat="1" applyFont="1" applyBorder="1"/>
    <xf numFmtId="166" fontId="0" fillId="0" borderId="130" xfId="1" applyFont="1" applyBorder="1"/>
    <xf numFmtId="0" fontId="15" fillId="0" borderId="0" xfId="0" applyFont="1" applyFill="1" applyBorder="1" applyAlignment="1">
      <alignment horizontal="center"/>
    </xf>
    <xf numFmtId="43" fontId="29" fillId="0" borderId="0" xfId="0" applyNumberFormat="1" applyFont="1" applyFill="1" applyBorder="1"/>
    <xf numFmtId="0" fontId="5" fillId="0" borderId="123" xfId="0" applyFont="1" applyBorder="1" applyAlignment="1">
      <alignment horizontal="center"/>
    </xf>
    <xf numFmtId="0" fontId="15" fillId="0" borderId="0" xfId="0" applyFont="1" applyFill="1" applyBorder="1" applyAlignment="1"/>
    <xf numFmtId="43" fontId="0" fillId="0" borderId="0" xfId="0" applyNumberFormat="1" applyFill="1" applyBorder="1"/>
    <xf numFmtId="0" fontId="7" fillId="0" borderId="0" xfId="0" applyFont="1" applyFill="1" applyBorder="1" applyAlignment="1">
      <alignment horizontal="left"/>
    </xf>
    <xf numFmtId="0" fontId="17" fillId="0" borderId="0" xfId="0" applyFont="1" applyBorder="1"/>
    <xf numFmtId="0" fontId="7" fillId="0" borderId="53" xfId="0" applyFont="1" applyFill="1" applyBorder="1" applyAlignment="1"/>
    <xf numFmtId="0" fontId="7" fillId="0" borderId="0" xfId="0" quotePrefix="1" applyFont="1" applyFill="1" applyBorder="1" applyAlignment="1">
      <alignment horizontal="left"/>
    </xf>
    <xf numFmtId="0" fontId="47" fillId="0" borderId="68" xfId="0" applyFont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47" fillId="0" borderId="53" xfId="0" applyFont="1" applyBorder="1" applyAlignment="1">
      <alignment horizontal="center"/>
    </xf>
    <xf numFmtId="0" fontId="46" fillId="0" borderId="61" xfId="0" applyFont="1" applyBorder="1" applyAlignment="1">
      <alignment horizontal="center"/>
    </xf>
    <xf numFmtId="0" fontId="46" fillId="0" borderId="53" xfId="0" applyFont="1" applyBorder="1" applyAlignment="1">
      <alignment horizontal="center"/>
    </xf>
    <xf numFmtId="49" fontId="29" fillId="28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8" fillId="0" borderId="0" xfId="0" applyFont="1" applyBorder="1" applyAlignment="1">
      <alignment horizontal="center"/>
    </xf>
    <xf numFmtId="0" fontId="15" fillId="0" borderId="59" xfId="0" applyFont="1" applyBorder="1" applyAlignment="1">
      <alignment horizontal="center"/>
    </xf>
    <xf numFmtId="0" fontId="15" fillId="0" borderId="68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166" fontId="14" fillId="0" borderId="59" xfId="1" applyFont="1" applyBorder="1" applyAlignment="1">
      <alignment horizontal="center"/>
    </xf>
    <xf numFmtId="166" fontId="14" fillId="0" borderId="68" xfId="1" applyFont="1" applyBorder="1" applyAlignment="1">
      <alignment horizontal="center"/>
    </xf>
    <xf numFmtId="166" fontId="0" fillId="11" borderId="89" xfId="1" applyFont="1" applyFill="1" applyBorder="1" applyAlignment="1">
      <alignment horizontal="center"/>
    </xf>
    <xf numFmtId="166" fontId="0" fillId="11" borderId="88" xfId="1" applyFont="1" applyFill="1" applyBorder="1" applyAlignment="1">
      <alignment horizontal="center"/>
    </xf>
    <xf numFmtId="0" fontId="0" fillId="8" borderId="90" xfId="1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0" fillId="0" borderId="52" xfId="0" applyBorder="1"/>
    <xf numFmtId="43" fontId="14" fillId="0" borderId="12" xfId="1" applyNumberFormat="1" applyFont="1" applyBorder="1" applyAlignment="1">
      <alignment horizontal="center"/>
    </xf>
    <xf numFmtId="43" fontId="14" fillId="0" borderId="20" xfId="1" applyNumberFormat="1" applyFont="1" applyBorder="1" applyAlignment="1">
      <alignment horizontal="center"/>
    </xf>
    <xf numFmtId="43" fontId="14" fillId="0" borderId="13" xfId="1" applyNumberFormat="1" applyFont="1" applyBorder="1" applyAlignment="1">
      <alignment horizontal="center"/>
    </xf>
    <xf numFmtId="0" fontId="7" fillId="0" borderId="12" xfId="0" applyFont="1" applyBorder="1" applyAlignment="1">
      <alignment vertical="center"/>
    </xf>
    <xf numFmtId="0" fontId="3" fillId="7" borderId="12" xfId="0" applyFont="1" applyFill="1" applyBorder="1" applyAlignment="1"/>
    <xf numFmtId="0" fontId="48" fillId="0" borderId="0" xfId="0" applyFont="1" applyBorder="1"/>
    <xf numFmtId="0" fontId="25" fillId="0" borderId="0" xfId="0" applyFont="1" applyBorder="1"/>
    <xf numFmtId="43" fontId="17" fillId="8" borderId="52" xfId="1" applyNumberFormat="1" applyFont="1" applyFill="1" applyBorder="1"/>
    <xf numFmtId="0" fontId="3" fillId="0" borderId="0" xfId="0" applyFont="1" applyFill="1" applyBorder="1"/>
    <xf numFmtId="43" fontId="17" fillId="8" borderId="0" xfId="1" applyNumberFormat="1" applyFont="1" applyFill="1" applyBorder="1"/>
    <xf numFmtId="43" fontId="25" fillId="0" borderId="0" xfId="0" applyNumberFormat="1" applyFont="1" applyBorder="1" applyAlignment="1">
      <alignment horizontal="center"/>
    </xf>
    <xf numFmtId="0" fontId="0" fillId="0" borderId="77" xfId="0" applyBorder="1"/>
    <xf numFmtId="0" fontId="0" fillId="0" borderId="87" xfId="0" applyBorder="1"/>
    <xf numFmtId="0" fontId="5" fillId="0" borderId="130" xfId="0" applyFont="1" applyBorder="1" applyAlignment="1"/>
    <xf numFmtId="0" fontId="3" fillId="0" borderId="0" xfId="0" applyFont="1" applyBorder="1" applyAlignment="1">
      <alignment horizontal="center"/>
    </xf>
    <xf numFmtId="9" fontId="0" fillId="0" borderId="0" xfId="0" applyNumberFormat="1" applyAlignment="1">
      <alignment horizontal="center"/>
    </xf>
    <xf numFmtId="9" fontId="3" fillId="0" borderId="8" xfId="0" applyNumberFormat="1" applyFont="1" applyFill="1" applyBorder="1" applyAlignment="1">
      <alignment horizontal="center" vertical="center"/>
    </xf>
    <xf numFmtId="9" fontId="3" fillId="0" borderId="20" xfId="0" applyNumberFormat="1" applyFont="1" applyFill="1" applyBorder="1" applyAlignment="1">
      <alignment horizontal="center" vertical="center"/>
    </xf>
    <xf numFmtId="9" fontId="38" fillId="0" borderId="20" xfId="0" applyNumberFormat="1" applyFont="1" applyFill="1" applyBorder="1" applyAlignment="1">
      <alignment horizontal="center" vertical="center"/>
    </xf>
    <xf numFmtId="9" fontId="38" fillId="0" borderId="3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49" fontId="6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/>
    <xf numFmtId="43" fontId="36" fillId="0" borderId="0" xfId="0" applyNumberFormat="1" applyFont="1" applyFill="1" applyBorder="1"/>
    <xf numFmtId="9" fontId="3" fillId="0" borderId="0" xfId="0" applyNumberFormat="1" applyFont="1" applyFill="1" applyBorder="1" applyAlignment="1">
      <alignment horizontal="center"/>
    </xf>
    <xf numFmtId="16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/>
    <xf numFmtId="43" fontId="3" fillId="8" borderId="11" xfId="0" applyNumberFormat="1" applyFont="1" applyFill="1" applyBorder="1"/>
    <xf numFmtId="43" fontId="49" fillId="0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1" fillId="0" borderId="132" xfId="0" applyFont="1" applyBorder="1" applyAlignment="1">
      <alignment horizontal="center"/>
    </xf>
    <xf numFmtId="0" fontId="15" fillId="0" borderId="55" xfId="0" applyFont="1" applyFill="1" applyBorder="1"/>
    <xf numFmtId="43" fontId="29" fillId="0" borderId="133" xfId="0" applyNumberFormat="1" applyFont="1" applyBorder="1"/>
    <xf numFmtId="0" fontId="50" fillId="5" borderId="0" xfId="0" applyFont="1" applyFill="1" applyBorder="1" applyAlignment="1">
      <alignment horizontal="center" vertical="center"/>
    </xf>
    <xf numFmtId="0" fontId="3" fillId="26" borderId="3" xfId="0" applyFont="1" applyFill="1" applyBorder="1" applyAlignment="1">
      <alignment horizontal="center"/>
    </xf>
    <xf numFmtId="43" fontId="3" fillId="0" borderId="0" xfId="0" quotePrefix="1" applyNumberFormat="1" applyFont="1" applyFill="1" applyBorder="1"/>
    <xf numFmtId="0" fontId="3" fillId="0" borderId="0" xfId="0" applyFont="1" applyBorder="1" applyAlignment="1">
      <alignment horizontal="center"/>
    </xf>
    <xf numFmtId="43" fontId="38" fillId="0" borderId="2" xfId="0" applyNumberFormat="1" applyFont="1" applyFill="1" applyBorder="1"/>
    <xf numFmtId="43" fontId="3" fillId="0" borderId="10" xfId="0" applyNumberFormat="1" applyFont="1" applyFill="1" applyBorder="1"/>
    <xf numFmtId="0" fontId="3" fillId="0" borderId="10" xfId="0" applyNumberFormat="1" applyFont="1" applyFill="1" applyBorder="1" applyAlignment="1">
      <alignment horizontal="center"/>
    </xf>
    <xf numFmtId="49" fontId="3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/>
    <xf numFmtId="43" fontId="12" fillId="0" borderId="0" xfId="0" applyNumberFormat="1" applyFont="1" applyFill="1" applyBorder="1" applyAlignment="1">
      <alignment horizontal="center"/>
    </xf>
    <xf numFmtId="43" fontId="3" fillId="0" borderId="0" xfId="0" applyNumberFormat="1" applyFont="1" applyFill="1" applyBorder="1" applyAlignment="1">
      <alignment horizontal="center"/>
    </xf>
    <xf numFmtId="43" fontId="13" fillId="0" borderId="0" xfId="0" applyNumberFormat="1" applyFont="1" applyFill="1" applyBorder="1"/>
    <xf numFmtId="0" fontId="1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43" fontId="13" fillId="0" borderId="0" xfId="0" applyNumberFormat="1" applyFont="1" applyFill="1" applyBorder="1" applyAlignment="1"/>
    <xf numFmtId="0" fontId="3" fillId="0" borderId="12" xfId="0" applyNumberFormat="1" applyFont="1" applyFill="1" applyBorder="1" applyAlignment="1">
      <alignment horizontal="center"/>
    </xf>
    <xf numFmtId="43" fontId="3" fillId="0" borderId="101" xfId="0" applyNumberFormat="1" applyFont="1" applyFill="1" applyBorder="1"/>
    <xf numFmtId="43" fontId="22" fillId="0" borderId="0" xfId="0" applyNumberFormat="1" applyFont="1" applyFill="1" applyBorder="1"/>
    <xf numFmtId="43" fontId="3" fillId="26" borderId="103" xfId="0" applyNumberFormat="1" applyFont="1" applyFill="1" applyBorder="1"/>
    <xf numFmtId="0" fontId="2" fillId="0" borderId="0" xfId="0" applyFont="1" applyFill="1" applyBorder="1"/>
    <xf numFmtId="0" fontId="22" fillId="0" borderId="0" xfId="0" applyFont="1" applyFill="1" applyBorder="1" applyAlignment="1">
      <alignment horizontal="center"/>
    </xf>
    <xf numFmtId="43" fontId="3" fillId="0" borderId="58" xfId="0" applyNumberFormat="1" applyFont="1" applyFill="1" applyBorder="1"/>
    <xf numFmtId="43" fontId="22" fillId="0" borderId="58" xfId="0" applyNumberFormat="1" applyFont="1" applyFill="1" applyBorder="1"/>
    <xf numFmtId="43" fontId="38" fillId="0" borderId="0" xfId="0" applyNumberFormat="1" applyFont="1" applyFill="1" applyBorder="1"/>
    <xf numFmtId="0" fontId="38" fillId="0" borderId="0" xfId="0" applyFont="1" applyBorder="1" applyAlignment="1"/>
    <xf numFmtId="43" fontId="38" fillId="0" borderId="0" xfId="0" applyNumberFormat="1" applyFont="1" applyBorder="1" applyAlignment="1"/>
    <xf numFmtId="43" fontId="18" fillId="0" borderId="0" xfId="0" applyNumberFormat="1" applyFont="1" applyFill="1" applyBorder="1"/>
    <xf numFmtId="43" fontId="42" fillId="0" borderId="0" xfId="0" applyNumberFormat="1" applyFont="1" applyFill="1" applyBorder="1"/>
    <xf numFmtId="0" fontId="42" fillId="0" borderId="0" xfId="0" applyFont="1" applyBorder="1" applyAlignment="1"/>
    <xf numFmtId="43" fontId="22" fillId="0" borderId="0" xfId="0" applyNumberFormat="1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0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6" fillId="0" borderId="20" xfId="0" applyFont="1" applyBorder="1" applyAlignment="1"/>
    <xf numFmtId="0" fontId="36" fillId="0" borderId="48" xfId="0" applyFont="1" applyBorder="1" applyAlignment="1"/>
    <xf numFmtId="0" fontId="36" fillId="0" borderId="5" xfId="0" applyFont="1" applyBorder="1" applyAlignment="1">
      <alignment horizontal="center"/>
    </xf>
    <xf numFmtId="43" fontId="36" fillId="26" borderId="101" xfId="0" applyNumberFormat="1" applyFont="1" applyFill="1" applyBorder="1"/>
    <xf numFmtId="43" fontId="36" fillId="26" borderId="1" xfId="0" applyNumberFormat="1" applyFont="1" applyFill="1" applyBorder="1"/>
    <xf numFmtId="43" fontId="36" fillId="6" borderId="0" xfId="0" applyNumberFormat="1" applyFont="1" applyFill="1" applyBorder="1"/>
    <xf numFmtId="43" fontId="36" fillId="8" borderId="1" xfId="0" applyNumberFormat="1" applyFont="1" applyFill="1" applyBorder="1"/>
    <xf numFmtId="43" fontId="36" fillId="8" borderId="1" xfId="0" applyNumberFormat="1" applyFont="1" applyFill="1" applyBorder="1" applyAlignment="1">
      <alignment horizontal="center"/>
    </xf>
    <xf numFmtId="43" fontId="36" fillId="8" borderId="95" xfId="0" applyNumberFormat="1" applyFont="1" applyFill="1" applyBorder="1" applyAlignment="1">
      <alignment horizontal="center"/>
    </xf>
    <xf numFmtId="0" fontId="51" fillId="0" borderId="0" xfId="0" applyFont="1" applyFill="1" applyBorder="1" applyAlignment="1"/>
    <xf numFmtId="0" fontId="36" fillId="0" borderId="0" xfId="0" applyFont="1" applyBorder="1"/>
    <xf numFmtId="0" fontId="36" fillId="0" borderId="3" xfId="0" applyFont="1" applyBorder="1"/>
    <xf numFmtId="0" fontId="35" fillId="0" borderId="0" xfId="0" applyFont="1" applyAlignment="1">
      <alignment horizontal="center"/>
    </xf>
    <xf numFmtId="43" fontId="0" fillId="0" borderId="5" xfId="0" applyNumberFormat="1" applyBorder="1"/>
    <xf numFmtId="43" fontId="0" fillId="0" borderId="5" xfId="0" applyNumberFormat="1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43" fontId="15" fillId="23" borderId="11" xfId="1" applyNumberFormat="1" applyFont="1" applyFill="1" applyBorder="1"/>
    <xf numFmtId="43" fontId="0" fillId="0" borderId="11" xfId="1" applyNumberFormat="1" applyFont="1" applyBorder="1"/>
    <xf numFmtId="166" fontId="0" fillId="0" borderId="11" xfId="1" applyFont="1" applyBorder="1"/>
    <xf numFmtId="43" fontId="0" fillId="0" borderId="22" xfId="1" applyNumberFormat="1" applyFont="1" applyBorder="1"/>
    <xf numFmtId="43" fontId="0" fillId="0" borderId="138" xfId="1" applyNumberFormat="1" applyFont="1" applyBorder="1"/>
    <xf numFmtId="43" fontId="0" fillId="0" borderId="22" xfId="0" applyNumberFormat="1" applyBorder="1"/>
    <xf numFmtId="43" fontId="0" fillId="0" borderId="6" xfId="1" applyNumberFormat="1" applyFont="1" applyBorder="1"/>
    <xf numFmtId="0" fontId="0" fillId="0" borderId="11" xfId="0" applyBorder="1" applyAlignment="1"/>
    <xf numFmtId="43" fontId="0" fillId="0" borderId="10" xfId="1" applyNumberFormat="1" applyFont="1" applyBorder="1"/>
    <xf numFmtId="43" fontId="0" fillId="0" borderId="4" xfId="1" applyNumberFormat="1" applyFont="1" applyBorder="1"/>
    <xf numFmtId="0" fontId="0" fillId="0" borderId="10" xfId="0" applyBorder="1" applyAlignment="1"/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0" fillId="0" borderId="139" xfId="0" applyBorder="1" applyAlignment="1">
      <alignment horizontal="center" vertical="center"/>
    </xf>
    <xf numFmtId="43" fontId="0" fillId="0" borderId="145" xfId="1" applyNumberFormat="1" applyFont="1" applyBorder="1"/>
    <xf numFmtId="43" fontId="15" fillId="23" borderId="145" xfId="1" applyNumberFormat="1" applyFont="1" applyFill="1" applyBorder="1"/>
    <xf numFmtId="43" fontId="0" fillId="0" borderId="146" xfId="1" applyNumberFormat="1" applyFont="1" applyBorder="1"/>
    <xf numFmtId="43" fontId="0" fillId="0" borderId="145" xfId="1" applyNumberFormat="1" applyFont="1" applyFill="1" applyBorder="1"/>
    <xf numFmtId="0" fontId="0" fillId="0" borderId="147" xfId="0" applyBorder="1"/>
    <xf numFmtId="0" fontId="0" fillId="0" borderId="148" xfId="0" applyBorder="1" applyAlignment="1">
      <alignment horizontal="center" wrapText="1"/>
    </xf>
    <xf numFmtId="0" fontId="0" fillId="0" borderId="139" xfId="0" applyBorder="1" applyAlignment="1">
      <alignment horizontal="center" wrapText="1"/>
    </xf>
    <xf numFmtId="0" fontId="0" fillId="0" borderId="149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52" fillId="0" borderId="0" xfId="0" applyFont="1" applyAlignment="1"/>
    <xf numFmtId="0" fontId="29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52" fillId="0" borderId="0" xfId="0" applyFont="1" applyAlignment="1">
      <alignment horizontal="left"/>
    </xf>
    <xf numFmtId="0" fontId="53" fillId="0" borderId="0" xfId="0" applyFont="1" applyFill="1" applyBorder="1" applyAlignment="1">
      <alignment vertical="center"/>
    </xf>
    <xf numFmtId="0" fontId="54" fillId="0" borderId="0" xfId="0" applyFont="1" applyBorder="1" applyAlignment="1">
      <alignment vertical="center"/>
    </xf>
    <xf numFmtId="43" fontId="0" fillId="0" borderId="0" xfId="0" applyNumberFormat="1" applyAlignment="1"/>
    <xf numFmtId="43" fontId="0" fillId="23" borderId="27" xfId="0" applyNumberFormat="1" applyFill="1" applyBorder="1"/>
    <xf numFmtId="0" fontId="0" fillId="0" borderId="27" xfId="0" applyBorder="1" applyAlignment="1">
      <alignment horizontal="center"/>
    </xf>
    <xf numFmtId="43" fontId="0" fillId="0" borderId="152" xfId="0" applyNumberFormat="1" applyBorder="1"/>
    <xf numFmtId="43" fontId="0" fillId="0" borderId="153" xfId="0" applyNumberFormat="1" applyBorder="1"/>
    <xf numFmtId="0" fontId="1" fillId="0" borderId="154" xfId="0" applyFont="1" applyBorder="1"/>
    <xf numFmtId="0" fontId="0" fillId="0" borderId="153" xfId="0" applyBorder="1" applyAlignment="1">
      <alignment horizontal="center"/>
    </xf>
    <xf numFmtId="0" fontId="0" fillId="0" borderId="153" xfId="0" applyBorder="1"/>
    <xf numFmtId="43" fontId="0" fillId="0" borderId="156" xfId="0" applyNumberFormat="1" applyBorder="1"/>
    <xf numFmtId="0" fontId="1" fillId="0" borderId="156" xfId="0" applyNumberFormat="1" applyFont="1" applyBorder="1"/>
    <xf numFmtId="0" fontId="0" fillId="0" borderId="35" xfId="0" applyBorder="1"/>
    <xf numFmtId="0" fontId="0" fillId="0" borderId="156" xfId="0" applyBorder="1" applyAlignment="1">
      <alignment horizontal="center"/>
    </xf>
    <xf numFmtId="0" fontId="0" fillId="0" borderId="156" xfId="0" applyBorder="1"/>
    <xf numFmtId="43" fontId="0" fillId="0" borderId="155" xfId="0" applyNumberFormat="1" applyBorder="1"/>
    <xf numFmtId="0" fontId="1" fillId="0" borderId="157" xfId="0" applyNumberFormat="1" applyFont="1" applyBorder="1"/>
    <xf numFmtId="43" fontId="0" fillId="0" borderId="158" xfId="0" applyNumberFormat="1" applyBorder="1"/>
    <xf numFmtId="0" fontId="0" fillId="0" borderId="160" xfId="0" applyBorder="1"/>
    <xf numFmtId="0" fontId="0" fillId="0" borderId="159" xfId="0" applyBorder="1" applyAlignment="1">
      <alignment horizontal="center"/>
    </xf>
    <xf numFmtId="0" fontId="0" fillId="0" borderId="159" xfId="0" applyBorder="1"/>
    <xf numFmtId="0" fontId="1" fillId="0" borderId="153" xfId="0" applyFont="1" applyBorder="1"/>
    <xf numFmtId="0" fontId="0" fillId="0" borderId="156" xfId="0" applyNumberFormat="1" applyFill="1" applyBorder="1"/>
    <xf numFmtId="0" fontId="1" fillId="0" borderId="156" xfId="0" applyFont="1" applyBorder="1"/>
    <xf numFmtId="0" fontId="1" fillId="0" borderId="159" xfId="0" applyFont="1" applyBorder="1"/>
    <xf numFmtId="43" fontId="0" fillId="0" borderId="161" xfId="0" applyNumberFormat="1" applyBorder="1"/>
    <xf numFmtId="43" fontId="0" fillId="0" borderId="162" xfId="0" applyNumberFormat="1" applyBorder="1"/>
    <xf numFmtId="0" fontId="1" fillId="0" borderId="163" xfId="0" applyFont="1" applyBorder="1"/>
    <xf numFmtId="0" fontId="0" fillId="0" borderId="162" xfId="0" applyBorder="1" applyAlignment="1">
      <alignment horizontal="center"/>
    </xf>
    <xf numFmtId="0" fontId="1" fillId="0" borderId="162" xfId="0" applyFont="1" applyBorder="1"/>
    <xf numFmtId="0" fontId="0" fillId="0" borderId="157" xfId="0" applyNumberFormat="1" applyBorder="1"/>
    <xf numFmtId="43" fontId="0" fillId="0" borderId="164" xfId="0" applyNumberFormat="1" applyBorder="1"/>
    <xf numFmtId="0" fontId="0" fillId="0" borderId="166" xfId="0" applyBorder="1"/>
    <xf numFmtId="0" fontId="0" fillId="0" borderId="165" xfId="0" applyBorder="1" applyAlignment="1">
      <alignment horizontal="center"/>
    </xf>
    <xf numFmtId="0" fontId="0" fillId="0" borderId="165" xfId="0" applyBorder="1"/>
    <xf numFmtId="0" fontId="1" fillId="0" borderId="23" xfId="0" applyFont="1" applyBorder="1"/>
    <xf numFmtId="0" fontId="1" fillId="0" borderId="0" xfId="0" applyNumberFormat="1" applyFont="1" applyBorder="1"/>
    <xf numFmtId="0" fontId="0" fillId="0" borderId="168" xfId="0" applyBorder="1"/>
    <xf numFmtId="0" fontId="1" fillId="0" borderId="23" xfId="0" applyFont="1" applyFill="1" applyBorder="1"/>
    <xf numFmtId="0" fontId="0" fillId="0" borderId="6" xfId="0" applyNumberFormat="1" applyFill="1" applyBorder="1"/>
    <xf numFmtId="0" fontId="0" fillId="0" borderId="0" xfId="0" applyNumberFormat="1" applyFill="1" applyBorder="1"/>
    <xf numFmtId="0" fontId="0" fillId="0" borderId="5" xfId="0" applyFill="1" applyBorder="1"/>
    <xf numFmtId="0" fontId="0" fillId="0" borderId="168" xfId="0" applyFill="1" applyBorder="1"/>
    <xf numFmtId="43" fontId="0" fillId="0" borderId="41" xfId="0" applyNumberFormat="1" applyFill="1" applyBorder="1"/>
    <xf numFmtId="0" fontId="0" fillId="0" borderId="2" xfId="0" applyFill="1" applyBorder="1"/>
    <xf numFmtId="0" fontId="0" fillId="0" borderId="169" xfId="0" applyBorder="1" applyAlignment="1">
      <alignment horizontal="center"/>
    </xf>
    <xf numFmtId="0" fontId="0" fillId="0" borderId="169" xfId="0" applyBorder="1"/>
    <xf numFmtId="0" fontId="17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43" fontId="0" fillId="30" borderId="158" xfId="0" applyNumberFormat="1" applyFill="1" applyBorder="1"/>
    <xf numFmtId="0" fontId="0" fillId="0" borderId="162" xfId="0" applyBorder="1"/>
    <xf numFmtId="43" fontId="0" fillId="0" borderId="165" xfId="0" applyNumberFormat="1" applyBorder="1"/>
    <xf numFmtId="0" fontId="0" fillId="0" borderId="11" xfId="0" applyBorder="1" applyAlignment="1">
      <alignment horizontal="center"/>
    </xf>
    <xf numFmtId="166" fontId="0" fillId="0" borderId="0" xfId="1" applyFont="1"/>
    <xf numFmtId="0" fontId="30" fillId="0" borderId="0" xfId="0" applyFont="1" applyAlignment="1">
      <alignment horizontal="center"/>
    </xf>
    <xf numFmtId="166" fontId="52" fillId="0" borderId="173" xfId="1" applyFont="1" applyBorder="1" applyAlignment="1">
      <alignment wrapText="1"/>
    </xf>
    <xf numFmtId="0" fontId="0" fillId="0" borderId="173" xfId="0" applyBorder="1" applyAlignment="1">
      <alignment wrapText="1"/>
    </xf>
    <xf numFmtId="166" fontId="55" fillId="31" borderId="174" xfId="1" applyFont="1" applyFill="1" applyBorder="1" applyAlignment="1">
      <alignment wrapText="1"/>
    </xf>
    <xf numFmtId="0" fontId="55" fillId="31" borderId="174" xfId="0" applyFont="1" applyFill="1" applyBorder="1" applyAlignment="1">
      <alignment wrapText="1"/>
    </xf>
    <xf numFmtId="0" fontId="56" fillId="31" borderId="175" xfId="0" applyFont="1" applyFill="1" applyBorder="1" applyAlignment="1">
      <alignment horizontal="center"/>
    </xf>
    <xf numFmtId="166" fontId="5" fillId="6" borderId="1" xfId="1" applyFont="1" applyFill="1" applyBorder="1" applyAlignment="1">
      <alignment wrapText="1"/>
    </xf>
    <xf numFmtId="0" fontId="5" fillId="6" borderId="1" xfId="0" applyFont="1" applyFill="1" applyBorder="1" applyAlignment="1">
      <alignment wrapText="1"/>
    </xf>
    <xf numFmtId="0" fontId="5" fillId="6" borderId="1" xfId="0" applyFont="1" applyFill="1" applyBorder="1" applyAlignment="1">
      <alignment horizontal="center"/>
    </xf>
    <xf numFmtId="166" fontId="58" fillId="6" borderId="1" xfId="1" applyFont="1" applyFill="1" applyBorder="1" applyAlignment="1">
      <alignment wrapText="1"/>
    </xf>
    <xf numFmtId="0" fontId="58" fillId="6" borderId="1" xfId="0" applyFont="1" applyFill="1" applyBorder="1" applyAlignment="1">
      <alignment wrapText="1"/>
    </xf>
    <xf numFmtId="0" fontId="58" fillId="6" borderId="1" xfId="0" applyFont="1" applyFill="1" applyBorder="1" applyAlignment="1">
      <alignment horizontal="center"/>
    </xf>
    <xf numFmtId="166" fontId="55" fillId="6" borderId="174" xfId="1" applyFont="1" applyFill="1" applyBorder="1" applyAlignment="1">
      <alignment wrapText="1"/>
    </xf>
    <xf numFmtId="0" fontId="55" fillId="32" borderId="174" xfId="0" applyFont="1" applyFill="1" applyBorder="1" applyAlignment="1">
      <alignment wrapText="1"/>
    </xf>
    <xf numFmtId="0" fontId="56" fillId="32" borderId="175" xfId="0" applyFont="1" applyFill="1" applyBorder="1" applyAlignment="1">
      <alignment horizontal="center"/>
    </xf>
    <xf numFmtId="166" fontId="0" fillId="0" borderId="0" xfId="1" applyFont="1" applyBorder="1" applyAlignment="1">
      <alignment wrapText="1"/>
    </xf>
    <xf numFmtId="0" fontId="0" fillId="0" borderId="0" xfId="0" applyBorder="1" applyAlignment="1">
      <alignment wrapText="1"/>
    </xf>
    <xf numFmtId="0" fontId="30" fillId="0" borderId="176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55" fillId="6" borderId="174" xfId="0" applyFont="1" applyFill="1" applyBorder="1" applyAlignment="1">
      <alignment wrapText="1"/>
    </xf>
    <xf numFmtId="0" fontId="56" fillId="6" borderId="175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0" fillId="0" borderId="27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6" xfId="0" applyBorder="1" applyAlignment="1"/>
    <xf numFmtId="43" fontId="0" fillId="0" borderId="10" xfId="0" applyNumberFormat="1" applyBorder="1" applyAlignment="1"/>
    <xf numFmtId="0" fontId="61" fillId="0" borderId="0" xfId="0" applyFont="1" applyAlignment="1">
      <alignment horizontal="left" indent="1"/>
    </xf>
    <xf numFmtId="166" fontId="0" fillId="0" borderId="0" xfId="0" applyNumberFormat="1" applyFill="1" applyBorder="1"/>
    <xf numFmtId="166" fontId="0" fillId="0" borderId="0" xfId="1" applyNumberFormat="1" applyFont="1" applyFill="1" applyBorder="1"/>
    <xf numFmtId="0" fontId="3" fillId="0" borderId="23" xfId="0" applyFont="1" applyBorder="1"/>
    <xf numFmtId="0" fontId="3" fillId="0" borderId="78" xfId="0" applyFont="1" applyBorder="1"/>
    <xf numFmtId="43" fontId="3" fillId="23" borderId="148" xfId="1" applyNumberFormat="1" applyFont="1" applyFill="1" applyBorder="1" applyAlignment="1">
      <alignment horizontal="right"/>
    </xf>
    <xf numFmtId="43" fontId="3" fillId="23" borderId="167" xfId="1" applyNumberFormat="1" applyFont="1" applyFill="1" applyBorder="1" applyAlignment="1">
      <alignment horizontal="right"/>
    </xf>
    <xf numFmtId="43" fontId="3" fillId="23" borderId="181" xfId="1" applyNumberFormat="1" applyFont="1" applyFill="1" applyBorder="1" applyAlignment="1">
      <alignment horizontal="right"/>
    </xf>
    <xf numFmtId="43" fontId="3" fillId="23" borderId="182" xfId="1" applyNumberFormat="1" applyFont="1" applyFill="1" applyBorder="1" applyAlignment="1"/>
    <xf numFmtId="0" fontId="3" fillId="0" borderId="168" xfId="0" applyFont="1" applyBorder="1"/>
    <xf numFmtId="0" fontId="3" fillId="0" borderId="149" xfId="0" applyFont="1" applyBorder="1"/>
    <xf numFmtId="43" fontId="3" fillId="0" borderId="183" xfId="1" applyNumberFormat="1" applyFont="1" applyBorder="1" applyAlignment="1">
      <alignment horizontal="right"/>
    </xf>
    <xf numFmtId="43" fontId="3" fillId="0" borderId="6" xfId="1" applyNumberFormat="1" applyFont="1" applyBorder="1" applyAlignment="1">
      <alignment horizontal="right"/>
    </xf>
    <xf numFmtId="43" fontId="3" fillId="0" borderId="145" xfId="1" applyNumberFormat="1" applyFont="1" applyBorder="1" applyAlignment="1">
      <alignment horizontal="right"/>
    </xf>
    <xf numFmtId="43" fontId="3" fillId="0" borderId="6" xfId="1" applyNumberFormat="1" applyFont="1" applyBorder="1" applyAlignment="1"/>
    <xf numFmtId="0" fontId="3" fillId="2" borderId="117" xfId="0" applyNumberFormat="1" applyFont="1" applyFill="1" applyBorder="1"/>
    <xf numFmtId="0" fontId="3" fillId="0" borderId="147" xfId="0" applyNumberFormat="1" applyFont="1" applyBorder="1"/>
    <xf numFmtId="43" fontId="3" fillId="0" borderId="52" xfId="1" applyNumberFormat="1" applyFont="1" applyBorder="1" applyAlignment="1">
      <alignment horizontal="right"/>
    </xf>
    <xf numFmtId="43" fontId="3" fillId="0" borderId="11" xfId="1" applyNumberFormat="1" applyFont="1" applyBorder="1" applyAlignment="1">
      <alignment horizontal="right"/>
    </xf>
    <xf numFmtId="0" fontId="3" fillId="0" borderId="68" xfId="0" applyFont="1" applyBorder="1"/>
    <xf numFmtId="43" fontId="17" fillId="3" borderId="60" xfId="1" applyNumberFormat="1" applyFont="1" applyFill="1" applyBorder="1"/>
    <xf numFmtId="43" fontId="6" fillId="8" borderId="53" xfId="1" applyNumberFormat="1" applyFont="1" applyFill="1" applyBorder="1"/>
    <xf numFmtId="43" fontId="17" fillId="0" borderId="52" xfId="1" applyNumberFormat="1" applyFont="1" applyFill="1" applyBorder="1"/>
    <xf numFmtId="43" fontId="0" fillId="0" borderId="68" xfId="0" applyNumberFormat="1" applyBorder="1"/>
    <xf numFmtId="43" fontId="0" fillId="0" borderId="11" xfId="0" applyNumberFormat="1" applyBorder="1"/>
    <xf numFmtId="0" fontId="0" fillId="0" borderId="190" xfId="0" applyBorder="1" applyAlignment="1"/>
    <xf numFmtId="43" fontId="0" fillId="0" borderId="190" xfId="0" applyNumberFormat="1" applyBorder="1" applyAlignment="1"/>
    <xf numFmtId="166" fontId="8" fillId="2" borderId="191" xfId="1" applyFont="1" applyFill="1" applyBorder="1"/>
    <xf numFmtId="166" fontId="0" fillId="2" borderId="191" xfId="1" applyFont="1" applyFill="1" applyBorder="1"/>
    <xf numFmtId="49" fontId="0" fillId="0" borderId="192" xfId="0" applyNumberFormat="1" applyBorder="1" applyAlignment="1">
      <alignment horizontal="center"/>
    </xf>
    <xf numFmtId="0" fontId="64" fillId="0" borderId="191" xfId="0" applyFont="1" applyBorder="1" applyAlignment="1">
      <alignment horizontal="center"/>
    </xf>
    <xf numFmtId="0" fontId="64" fillId="0" borderId="8" xfId="0" applyFont="1" applyBorder="1" applyAlignment="1">
      <alignment horizontal="center"/>
    </xf>
    <xf numFmtId="166" fontId="0" fillId="0" borderId="193" xfId="1" applyFont="1" applyBorder="1"/>
    <xf numFmtId="0" fontId="0" fillId="0" borderId="194" xfId="0" applyBorder="1" applyAlignment="1">
      <alignment horizontal="center"/>
    </xf>
    <xf numFmtId="0" fontId="64" fillId="0" borderId="2" xfId="0" applyFont="1" applyBorder="1"/>
    <xf numFmtId="166" fontId="0" fillId="0" borderId="183" xfId="1" applyFont="1" applyBorder="1"/>
    <xf numFmtId="0" fontId="0" fillId="0" borderId="147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0" xfId="0" applyBorder="1" applyAlignment="1">
      <alignment horizontal="right"/>
    </xf>
    <xf numFmtId="166" fontId="65" fillId="0" borderId="183" xfId="1" applyFont="1" applyBorder="1"/>
    <xf numFmtId="166" fontId="0" fillId="2" borderId="52" xfId="1" applyFont="1" applyFill="1" applyBorder="1"/>
    <xf numFmtId="0" fontId="0" fillId="0" borderId="0" xfId="0" applyFill="1" applyBorder="1" applyAlignment="1">
      <alignment horizontal="left"/>
    </xf>
    <xf numFmtId="166" fontId="15" fillId="0" borderId="183" xfId="1" applyFont="1" applyBorder="1"/>
    <xf numFmtId="0" fontId="0" fillId="2" borderId="195" xfId="1" applyNumberFormat="1" applyFont="1" applyFill="1" applyBorder="1" applyAlignment="1">
      <alignment horizontal="left"/>
    </xf>
    <xf numFmtId="166" fontId="0" fillId="2" borderId="195" xfId="1" applyFont="1" applyFill="1" applyBorder="1"/>
    <xf numFmtId="0" fontId="0" fillId="0" borderId="196" xfId="0" applyBorder="1" applyAlignment="1">
      <alignment horizontal="center"/>
    </xf>
    <xf numFmtId="0" fontId="64" fillId="0" borderId="3" xfId="0" applyFont="1" applyBorder="1" applyAlignment="1">
      <alignment horizontal="left"/>
    </xf>
    <xf numFmtId="0" fontId="64" fillId="0" borderId="2" xfId="0" applyFont="1" applyBorder="1" applyAlignment="1">
      <alignment horizontal="left"/>
    </xf>
    <xf numFmtId="0" fontId="0" fillId="0" borderId="0" xfId="0" applyFill="1" applyBorder="1" applyAlignment="1">
      <alignment horizontal="right"/>
    </xf>
    <xf numFmtId="0" fontId="15" fillId="0" borderId="0" xfId="0" applyFont="1" applyBorder="1" applyAlignment="1">
      <alignment horizontal="right"/>
    </xf>
    <xf numFmtId="0" fontId="66" fillId="0" borderId="0" xfId="0" applyFont="1" applyBorder="1"/>
    <xf numFmtId="166" fontId="29" fillId="2" borderId="52" xfId="1" applyFont="1" applyFill="1" applyBorder="1"/>
    <xf numFmtId="0" fontId="64" fillId="0" borderId="0" xfId="0" applyFont="1" applyBorder="1" applyAlignment="1">
      <alignment horizontal="left"/>
    </xf>
    <xf numFmtId="0" fontId="64" fillId="0" borderId="5" xfId="0" applyFont="1" applyBorder="1" applyAlignment="1">
      <alignment horizontal="right"/>
    </xf>
    <xf numFmtId="0" fontId="64" fillId="0" borderId="3" xfId="0" applyFont="1" applyBorder="1" applyAlignment="1"/>
    <xf numFmtId="0" fontId="64" fillId="0" borderId="2" xfId="0" applyFont="1" applyBorder="1" applyAlignment="1"/>
    <xf numFmtId="166" fontId="0" fillId="0" borderId="197" xfId="1" applyFont="1" applyBorder="1"/>
    <xf numFmtId="0" fontId="0" fillId="0" borderId="198" xfId="0" applyBorder="1" applyAlignment="1">
      <alignment horizontal="center"/>
    </xf>
    <xf numFmtId="0" fontId="64" fillId="0" borderId="20" xfId="0" applyFont="1" applyBorder="1" applyAlignment="1">
      <alignment horizontal="left"/>
    </xf>
    <xf numFmtId="0" fontId="64" fillId="0" borderId="12" xfId="0" applyFont="1" applyBorder="1" applyAlignment="1">
      <alignment horizontal="left"/>
    </xf>
    <xf numFmtId="166" fontId="0" fillId="0" borderId="199" xfId="1" applyNumberFormat="1" applyFont="1" applyBorder="1" applyAlignment="1">
      <alignment horizontal="left"/>
    </xf>
    <xf numFmtId="166" fontId="0" fillId="0" borderId="195" xfId="1" applyFont="1" applyFill="1" applyBorder="1"/>
    <xf numFmtId="0" fontId="64" fillId="0" borderId="0" xfId="0" applyFont="1" applyBorder="1" applyAlignment="1">
      <alignment horizontal="center"/>
    </xf>
    <xf numFmtId="0" fontId="64" fillId="0" borderId="5" xfId="0" applyFont="1" applyBorder="1" applyAlignment="1">
      <alignment horizontal="left"/>
    </xf>
    <xf numFmtId="0" fontId="0" fillId="2" borderId="52" xfId="1" applyNumberFormat="1" applyFont="1" applyFill="1" applyBorder="1" applyAlignment="1">
      <alignment horizontal="left"/>
    </xf>
    <xf numFmtId="49" fontId="0" fillId="0" borderId="196" xfId="0" applyNumberFormat="1" applyBorder="1" applyAlignment="1">
      <alignment horizontal="center"/>
    </xf>
    <xf numFmtId="0" fontId="0" fillId="0" borderId="195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64" fillId="0" borderId="3" xfId="0" applyFont="1" applyBorder="1" applyAlignment="1">
      <alignment horizontal="center"/>
    </xf>
    <xf numFmtId="166" fontId="67" fillId="0" borderId="0" xfId="0" applyNumberFormat="1" applyFont="1"/>
    <xf numFmtId="0" fontId="67" fillId="0" borderId="0" xfId="0" applyFont="1"/>
    <xf numFmtId="166" fontId="30" fillId="2" borderId="198" xfId="1" applyFont="1" applyFill="1" applyBorder="1"/>
    <xf numFmtId="166" fontId="0" fillId="2" borderId="200" xfId="1" applyFont="1" applyFill="1" applyBorder="1"/>
    <xf numFmtId="0" fontId="0" fillId="0" borderId="201" xfId="0" applyBorder="1"/>
    <xf numFmtId="166" fontId="0" fillId="0" borderId="147" xfId="1" applyFont="1" applyBorder="1"/>
    <xf numFmtId="0" fontId="0" fillId="0" borderId="59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5" xfId="0" applyFill="1" applyBorder="1" applyAlignment="1">
      <alignment horizontal="right"/>
    </xf>
    <xf numFmtId="0" fontId="0" fillId="0" borderId="202" xfId="0" applyBorder="1" applyAlignment="1">
      <alignment horizontal="left"/>
    </xf>
    <xf numFmtId="166" fontId="70" fillId="0" borderId="147" xfId="1" applyFont="1" applyBorder="1"/>
    <xf numFmtId="0" fontId="1" fillId="0" borderId="3" xfId="0" applyFont="1" applyBorder="1" applyAlignment="1"/>
    <xf numFmtId="0" fontId="1" fillId="0" borderId="2" xfId="0" applyFont="1" applyBorder="1" applyAlignment="1"/>
    <xf numFmtId="166" fontId="0" fillId="2" borderId="147" xfId="1" applyFont="1" applyFill="1" applyBorder="1"/>
    <xf numFmtId="166" fontId="15" fillId="2" borderId="52" xfId="1" applyFont="1" applyFill="1" applyBorder="1"/>
    <xf numFmtId="166" fontId="0" fillId="0" borderId="203" xfId="1" applyFont="1" applyBorder="1"/>
    <xf numFmtId="166" fontId="0" fillId="0" borderId="191" xfId="1" applyFont="1" applyBorder="1"/>
    <xf numFmtId="0" fontId="0" fillId="0" borderId="204" xfId="0" applyBorder="1" applyAlignment="1">
      <alignment horizontal="left"/>
    </xf>
    <xf numFmtId="0" fontId="0" fillId="0" borderId="0" xfId="0" applyFont="1" applyFill="1" applyBorder="1" applyAlignment="1">
      <alignment horizontal="right"/>
    </xf>
    <xf numFmtId="0" fontId="0" fillId="0" borderId="5" xfId="0" applyFont="1" applyBorder="1"/>
    <xf numFmtId="0" fontId="0" fillId="0" borderId="59" xfId="0" applyFont="1" applyBorder="1" applyAlignment="1">
      <alignment horizontal="left"/>
    </xf>
    <xf numFmtId="0" fontId="0" fillId="0" borderId="5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left"/>
    </xf>
    <xf numFmtId="0" fontId="0" fillId="0" borderId="5" xfId="0" applyFont="1" applyBorder="1" applyAlignment="1">
      <alignment horizontal="right" vertical="top"/>
    </xf>
    <xf numFmtId="166" fontId="0" fillId="0" borderId="0" xfId="0" applyNumberFormat="1" applyAlignment="1">
      <alignment horizontal="left"/>
    </xf>
    <xf numFmtId="166" fontId="15" fillId="0" borderId="52" xfId="1" applyFont="1" applyBorder="1"/>
    <xf numFmtId="49" fontId="0" fillId="0" borderId="59" xfId="0" applyNumberFormat="1" applyFont="1" applyBorder="1" applyAlignment="1">
      <alignment horizontal="left"/>
    </xf>
    <xf numFmtId="0" fontId="0" fillId="0" borderId="5" xfId="0" applyFont="1" applyFill="1" applyBorder="1" applyAlignment="1">
      <alignment horizontal="right"/>
    </xf>
    <xf numFmtId="166" fontId="27" fillId="2" borderId="52" xfId="1" applyFont="1" applyFill="1" applyBorder="1"/>
    <xf numFmtId="0" fontId="0" fillId="0" borderId="204" xfId="0" applyFont="1" applyBorder="1" applyAlignment="1">
      <alignment horizontal="left"/>
    </xf>
    <xf numFmtId="0" fontId="0" fillId="0" borderId="7" xfId="0" applyFont="1" applyBorder="1" applyAlignment="1">
      <alignment horizontal="right"/>
    </xf>
    <xf numFmtId="0" fontId="0" fillId="0" borderId="0" xfId="0" applyFont="1" applyBorder="1" applyAlignment="1"/>
    <xf numFmtId="166" fontId="70" fillId="0" borderId="0" xfId="1" applyFont="1" applyBorder="1"/>
    <xf numFmtId="0" fontId="0" fillId="0" borderId="202" xfId="0" applyFont="1" applyBorder="1" applyAlignment="1">
      <alignment horizontal="left"/>
    </xf>
    <xf numFmtId="0" fontId="0" fillId="0" borderId="3" xfId="0" applyFont="1" applyBorder="1"/>
    <xf numFmtId="0" fontId="0" fillId="0" borderId="3" xfId="0" applyFont="1" applyBorder="1" applyAlignment="1"/>
    <xf numFmtId="0" fontId="0" fillId="0" borderId="2" xfId="0" applyFont="1" applyBorder="1" applyAlignment="1"/>
    <xf numFmtId="0" fontId="0" fillId="0" borderId="5" xfId="0" applyFont="1" applyBorder="1" applyAlignment="1"/>
    <xf numFmtId="0" fontId="0" fillId="0" borderId="59" xfId="0" applyFont="1" applyBorder="1" applyAlignment="1"/>
    <xf numFmtId="0" fontId="8" fillId="2" borderId="198" xfId="1" applyNumberFormat="1" applyFont="1" applyFill="1" applyBorder="1" applyAlignment="1">
      <alignment horizontal="left"/>
    </xf>
    <xf numFmtId="166" fontId="1" fillId="2" borderId="200" xfId="1" applyFont="1" applyFill="1" applyBorder="1"/>
    <xf numFmtId="0" fontId="0" fillId="0" borderId="201" xfId="0" applyFont="1" applyBorder="1" applyAlignment="1"/>
    <xf numFmtId="0" fontId="0" fillId="0" borderId="204" xfId="0" applyFont="1" applyBorder="1"/>
    <xf numFmtId="0" fontId="0" fillId="0" borderId="191" xfId="0" applyFont="1" applyBorder="1"/>
    <xf numFmtId="0" fontId="0" fillId="0" borderId="8" xfId="0" applyFont="1" applyBorder="1"/>
    <xf numFmtId="0" fontId="1" fillId="0" borderId="7" xfId="0" applyFont="1" applyBorder="1"/>
    <xf numFmtId="0" fontId="1" fillId="0" borderId="0" xfId="0" applyFont="1" applyAlignment="1">
      <alignment horizontal="center"/>
    </xf>
    <xf numFmtId="43" fontId="0" fillId="0" borderId="27" xfId="0" applyNumberFormat="1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43" fontId="0" fillId="0" borderId="153" xfId="0" applyNumberFormat="1" applyFill="1" applyBorder="1"/>
    <xf numFmtId="0" fontId="1" fillId="0" borderId="205" xfId="0" applyFont="1" applyFill="1" applyBorder="1" applyAlignment="1">
      <alignment horizontal="center"/>
    </xf>
    <xf numFmtId="0" fontId="1" fillId="0" borderId="206" xfId="0" applyFont="1" applyFill="1" applyBorder="1" applyAlignment="1"/>
    <xf numFmtId="0" fontId="1" fillId="0" borderId="154" xfId="0" applyFont="1" applyFill="1" applyBorder="1"/>
    <xf numFmtId="43" fontId="0" fillId="0" borderId="156" xfId="0" applyNumberFormat="1" applyFill="1" applyBorder="1"/>
    <xf numFmtId="43" fontId="0" fillId="0" borderId="35" xfId="0" applyNumberFormat="1" applyFill="1" applyBorder="1"/>
    <xf numFmtId="0" fontId="0" fillId="0" borderId="37" xfId="0" applyFill="1" applyBorder="1" applyAlignment="1">
      <alignment horizontal="center"/>
    </xf>
    <xf numFmtId="43" fontId="0" fillId="0" borderId="165" xfId="1" applyNumberFormat="1" applyFont="1" applyFill="1" applyBorder="1"/>
    <xf numFmtId="0" fontId="0" fillId="0" borderId="34" xfId="0" applyFill="1" applyBorder="1" applyAlignment="1">
      <alignment horizontal="center"/>
    </xf>
    <xf numFmtId="43" fontId="0" fillId="0" borderId="207" xfId="0" applyNumberFormat="1" applyBorder="1" applyAlignment="1">
      <alignment horizontal="center"/>
    </xf>
    <xf numFmtId="0" fontId="1" fillId="0" borderId="208" xfId="0" applyFont="1" applyBorder="1" applyAlignment="1">
      <alignment horizontal="center"/>
    </xf>
    <xf numFmtId="0" fontId="1" fillId="0" borderId="75" xfId="0" applyFont="1" applyBorder="1" applyAlignment="1"/>
    <xf numFmtId="0" fontId="1" fillId="0" borderId="75" xfId="0" applyFont="1" applyBorder="1"/>
    <xf numFmtId="0" fontId="0" fillId="0" borderId="75" xfId="0" applyBorder="1" applyAlignment="1">
      <alignment horizontal="center"/>
    </xf>
    <xf numFmtId="0" fontId="0" fillId="0" borderId="209" xfId="0" applyBorder="1"/>
    <xf numFmtId="0" fontId="0" fillId="0" borderId="37" xfId="0" applyFill="1" applyBorder="1" applyAlignment="1"/>
    <xf numFmtId="0" fontId="0" fillId="0" borderId="36" xfId="0" applyFill="1" applyBorder="1"/>
    <xf numFmtId="0" fontId="0" fillId="0" borderId="35" xfId="0" applyFill="1" applyBorder="1"/>
    <xf numFmtId="0" fontId="0" fillId="0" borderId="210" xfId="0" applyFill="1" applyBorder="1"/>
    <xf numFmtId="0" fontId="0" fillId="0" borderId="210" xfId="0" applyFill="1" applyBorder="1" applyAlignment="1"/>
    <xf numFmtId="0" fontId="0" fillId="0" borderId="211" xfId="0" applyFill="1" applyBorder="1" applyAlignment="1"/>
    <xf numFmtId="0" fontId="0" fillId="0" borderId="212" xfId="0" applyFill="1" applyBorder="1"/>
    <xf numFmtId="43" fontId="0" fillId="0" borderId="213" xfId="0" applyNumberFormat="1" applyBorder="1"/>
    <xf numFmtId="0" fontId="0" fillId="0" borderId="214" xfId="0" applyFill="1" applyBorder="1" applyAlignment="1"/>
    <xf numFmtId="0" fontId="0" fillId="0" borderId="215" xfId="0" applyFill="1" applyBorder="1"/>
    <xf numFmtId="0" fontId="0" fillId="0" borderId="215" xfId="0" applyBorder="1" applyAlignment="1">
      <alignment horizontal="center"/>
    </xf>
    <xf numFmtId="0" fontId="0" fillId="0" borderId="213" xfId="0" applyBorder="1" applyAlignment="1">
      <alignment horizontal="center"/>
    </xf>
    <xf numFmtId="0" fontId="0" fillId="0" borderId="213" xfId="0" applyBorder="1"/>
    <xf numFmtId="0" fontId="1" fillId="0" borderId="37" xfId="0" applyFont="1" applyFill="1" applyBorder="1" applyAlignment="1">
      <alignment horizontal="center"/>
    </xf>
    <xf numFmtId="0" fontId="1" fillId="0" borderId="35" xfId="0" applyFont="1" applyFill="1" applyBorder="1"/>
    <xf numFmtId="43" fontId="0" fillId="0" borderId="169" xfId="0" applyNumberFormat="1" applyBorder="1"/>
    <xf numFmtId="43" fontId="0" fillId="0" borderId="169" xfId="0" applyNumberFormat="1" applyFill="1" applyBorder="1"/>
    <xf numFmtId="0" fontId="1" fillId="0" borderId="216" xfId="0" applyFont="1" applyFill="1" applyBorder="1" applyAlignment="1">
      <alignment horizontal="center"/>
    </xf>
    <xf numFmtId="0" fontId="0" fillId="0" borderId="166" xfId="0" applyFill="1" applyBorder="1"/>
    <xf numFmtId="0" fontId="0" fillId="0" borderId="166" xfId="0" applyBorder="1" applyAlignment="1">
      <alignment horizontal="center"/>
    </xf>
    <xf numFmtId="0" fontId="0" fillId="0" borderId="208" xfId="0" applyBorder="1"/>
    <xf numFmtId="43" fontId="8" fillId="0" borderId="207" xfId="0" applyNumberFormat="1" applyFont="1" applyBorder="1"/>
    <xf numFmtId="0" fontId="0" fillId="0" borderId="207" xfId="0" applyBorder="1" applyAlignment="1">
      <alignment horizontal="center"/>
    </xf>
    <xf numFmtId="0" fontId="0" fillId="0" borderId="207" xfId="0" applyBorder="1"/>
    <xf numFmtId="0" fontId="0" fillId="0" borderId="36" xfId="0" applyFill="1" applyBorder="1" applyAlignment="1"/>
    <xf numFmtId="43" fontId="0" fillId="0" borderId="217" xfId="0" applyNumberFormat="1" applyFill="1" applyBorder="1"/>
    <xf numFmtId="43" fontId="0" fillId="0" borderId="165" xfId="0" applyNumberFormat="1" applyFill="1" applyBorder="1"/>
    <xf numFmtId="0" fontId="0" fillId="0" borderId="34" xfId="0" applyFill="1" applyBorder="1" applyAlignment="1"/>
    <xf numFmtId="0" fontId="0" fillId="0" borderId="33" xfId="0" applyFill="1" applyBorder="1" applyAlignment="1"/>
    <xf numFmtId="0" fontId="0" fillId="0" borderId="32" xfId="0" applyFill="1" applyBorder="1"/>
    <xf numFmtId="0" fontId="0" fillId="0" borderId="41" xfId="0" applyFill="1" applyBorder="1" applyAlignment="1"/>
    <xf numFmtId="0" fontId="0" fillId="0" borderId="163" xfId="0" applyFill="1" applyBorder="1"/>
    <xf numFmtId="43" fontId="1" fillId="0" borderId="0" xfId="0" applyNumberFormat="1" applyFont="1" applyBorder="1" applyAlignment="1"/>
    <xf numFmtId="43" fontId="0" fillId="0" borderId="159" xfId="0" applyNumberFormat="1" applyFill="1" applyBorder="1"/>
    <xf numFmtId="0" fontId="1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3" fontId="0" fillId="0" borderId="0" xfId="0" applyNumberFormat="1" applyAlignment="1">
      <alignment horizontal="center"/>
    </xf>
    <xf numFmtId="43" fontId="0" fillId="23" borderId="108" xfId="0" applyNumberFormat="1" applyFill="1" applyBorder="1"/>
    <xf numFmtId="43" fontId="1" fillId="0" borderId="108" xfId="0" applyNumberFormat="1" applyFont="1" applyFill="1" applyBorder="1" applyAlignment="1">
      <alignment horizontal="center"/>
    </xf>
    <xf numFmtId="0" fontId="1" fillId="0" borderId="108" xfId="0" applyFont="1" applyBorder="1"/>
    <xf numFmtId="0" fontId="0" fillId="0" borderId="108" xfId="0" applyFill="1" applyBorder="1" applyAlignment="1">
      <alignment horizontal="center"/>
    </xf>
    <xf numFmtId="0" fontId="0" fillId="0" borderId="108" xfId="0" applyFill="1" applyBorder="1"/>
    <xf numFmtId="43" fontId="0" fillId="0" borderId="218" xfId="0" applyNumberFormat="1" applyFill="1" applyBorder="1"/>
    <xf numFmtId="43" fontId="0" fillId="0" borderId="219" xfId="0" applyNumberFormat="1" applyFill="1" applyBorder="1"/>
    <xf numFmtId="0" fontId="0" fillId="0" borderId="219" xfId="0" applyNumberFormat="1" applyFill="1" applyBorder="1"/>
    <xf numFmtId="0" fontId="1" fillId="0" borderId="220" xfId="0" applyFont="1" applyFill="1" applyBorder="1"/>
    <xf numFmtId="0" fontId="1" fillId="0" borderId="221" xfId="0" applyFont="1" applyFill="1" applyBorder="1"/>
    <xf numFmtId="0" fontId="0" fillId="0" borderId="221" xfId="0" applyFill="1" applyBorder="1" applyAlignment="1">
      <alignment horizontal="center"/>
    </xf>
    <xf numFmtId="0" fontId="0" fillId="0" borderId="218" xfId="0" applyFill="1" applyBorder="1" applyAlignment="1">
      <alignment horizontal="center"/>
    </xf>
    <xf numFmtId="0" fontId="0" fillId="0" borderId="218" xfId="0" applyFill="1" applyBorder="1"/>
    <xf numFmtId="0" fontId="0" fillId="0" borderId="37" xfId="0" applyBorder="1"/>
    <xf numFmtId="0" fontId="0" fillId="0" borderId="156" xfId="0" applyFill="1" applyBorder="1"/>
    <xf numFmtId="0" fontId="0" fillId="0" borderId="36" xfId="0" applyBorder="1"/>
    <xf numFmtId="164" fontId="0" fillId="0" borderId="37" xfId="0" applyNumberFormat="1" applyFill="1" applyBorder="1"/>
    <xf numFmtId="43" fontId="15" fillId="0" borderId="0" xfId="0" applyNumberFormat="1" applyFont="1" applyBorder="1" applyAlignment="1"/>
    <xf numFmtId="43" fontId="0" fillId="0" borderId="223" xfId="0" applyNumberFormat="1" applyFill="1" applyBorder="1"/>
    <xf numFmtId="43" fontId="0" fillId="0" borderId="224" xfId="0" applyNumberFormat="1" applyFill="1" applyBorder="1"/>
    <xf numFmtId="0" fontId="1" fillId="0" borderId="224" xfId="0" applyFont="1" applyFill="1" applyBorder="1" applyAlignment="1">
      <alignment horizontal="center"/>
    </xf>
    <xf numFmtId="0" fontId="0" fillId="0" borderId="225" xfId="0" applyFill="1" applyBorder="1" applyAlignment="1">
      <alignment horizontal="center" vertical="center" wrapText="1"/>
    </xf>
    <xf numFmtId="0" fontId="0" fillId="0" borderId="226" xfId="0" applyFill="1" applyBorder="1" applyAlignment="1">
      <alignment horizontal="center" vertical="center" wrapText="1"/>
    </xf>
    <xf numFmtId="0" fontId="0" fillId="0" borderId="226" xfId="0" applyFill="1" applyBorder="1" applyAlignment="1">
      <alignment horizontal="center"/>
    </xf>
    <xf numFmtId="0" fontId="0" fillId="0" borderId="223" xfId="0" applyFill="1" applyBorder="1" applyAlignment="1">
      <alignment horizontal="center"/>
    </xf>
    <xf numFmtId="0" fontId="0" fillId="0" borderId="223" xfId="0" applyFill="1" applyBorder="1"/>
    <xf numFmtId="43" fontId="0" fillId="0" borderId="223" xfId="0" applyNumberFormat="1" applyBorder="1"/>
    <xf numFmtId="43" fontId="0" fillId="0" borderId="224" xfId="0" applyNumberFormat="1" applyBorder="1"/>
    <xf numFmtId="0" fontId="0" fillId="0" borderId="226" xfId="0" applyBorder="1" applyAlignment="1">
      <alignment horizontal="center"/>
    </xf>
    <xf numFmtId="0" fontId="0" fillId="0" borderId="223" xfId="0" applyBorder="1" applyAlignment="1">
      <alignment horizontal="center"/>
    </xf>
    <xf numFmtId="0" fontId="0" fillId="0" borderId="223" xfId="0" applyBorder="1"/>
    <xf numFmtId="43" fontId="0" fillId="0" borderId="218" xfId="0" applyNumberFormat="1" applyBorder="1"/>
    <xf numFmtId="43" fontId="0" fillId="0" borderId="219" xfId="0" applyNumberFormat="1" applyBorder="1"/>
    <xf numFmtId="0" fontId="0" fillId="0" borderId="227" xfId="0" applyNumberFormat="1" applyFill="1" applyBorder="1"/>
    <xf numFmtId="0" fontId="1" fillId="0" borderId="55" xfId="0" applyFont="1" applyFill="1" applyBorder="1"/>
    <xf numFmtId="0" fontId="1" fillId="0" borderId="228" xfId="0" applyFont="1" applyFill="1" applyBorder="1"/>
    <xf numFmtId="0" fontId="0" fillId="0" borderId="221" xfId="0" applyBorder="1" applyAlignment="1">
      <alignment horizontal="center"/>
    </xf>
    <xf numFmtId="0" fontId="0" fillId="0" borderId="218" xfId="0" applyBorder="1" applyAlignment="1">
      <alignment horizontal="center"/>
    </xf>
    <xf numFmtId="0" fontId="0" fillId="0" borderId="218" xfId="0" applyBorder="1"/>
    <xf numFmtId="43" fontId="0" fillId="11" borderId="229" xfId="0" applyNumberFormat="1" applyFill="1" applyBorder="1"/>
    <xf numFmtId="0" fontId="1" fillId="0" borderId="6" xfId="0" applyFont="1" applyFill="1" applyBorder="1" applyAlignment="1">
      <alignment horizontal="center"/>
    </xf>
    <xf numFmtId="164" fontId="0" fillId="0" borderId="6" xfId="0" applyNumberFormat="1" applyFill="1" applyBorder="1"/>
    <xf numFmtId="0" fontId="1" fillId="0" borderId="230" xfId="0" applyFont="1" applyFill="1" applyBorder="1" applyAlignment="1">
      <alignment horizontal="center"/>
    </xf>
    <xf numFmtId="0" fontId="0" fillId="0" borderId="64" xfId="0" applyFill="1" applyBorder="1" applyAlignment="1">
      <alignment horizontal="center" vertical="center" wrapText="1"/>
    </xf>
    <xf numFmtId="0" fontId="0" fillId="0" borderId="231" xfId="0" applyFill="1" applyBorder="1" applyAlignment="1">
      <alignment horizontal="center" vertical="center" wrapText="1"/>
    </xf>
    <xf numFmtId="43" fontId="0" fillId="0" borderId="232" xfId="0" applyNumberFormat="1" applyBorder="1"/>
    <xf numFmtId="43" fontId="0" fillId="0" borderId="233" xfId="0" applyNumberFormat="1" applyBorder="1"/>
    <xf numFmtId="0" fontId="1" fillId="0" borderId="0" xfId="0" applyFont="1" applyFill="1" applyBorder="1"/>
    <xf numFmtId="0" fontId="1" fillId="0" borderId="5" xfId="0" applyFont="1" applyFill="1" applyBorder="1"/>
    <xf numFmtId="0" fontId="0" fillId="0" borderId="232" xfId="0" applyBorder="1" applyAlignment="1">
      <alignment horizontal="center"/>
    </xf>
    <xf numFmtId="0" fontId="0" fillId="0" borderId="232" xfId="0" applyBorder="1"/>
    <xf numFmtId="0" fontId="0" fillId="0" borderId="6" xfId="0" applyFont="1" applyFill="1" applyBorder="1" applyAlignment="1">
      <alignment horizontal="center"/>
    </xf>
    <xf numFmtId="0" fontId="0" fillId="0" borderId="234" xfId="0" applyBorder="1" applyAlignment="1">
      <alignment horizontal="center"/>
    </xf>
    <xf numFmtId="0" fontId="0" fillId="0" borderId="235" xfId="0" applyBorder="1"/>
    <xf numFmtId="0" fontId="0" fillId="0" borderId="236" xfId="0" applyBorder="1" applyAlignment="1">
      <alignment horizontal="center"/>
    </xf>
    <xf numFmtId="43" fontId="0" fillId="0" borderId="237" xfId="0" applyNumberFormat="1" applyBorder="1"/>
    <xf numFmtId="43" fontId="0" fillId="0" borderId="238" xfId="0" applyNumberFormat="1" applyBorder="1"/>
    <xf numFmtId="0" fontId="0" fillId="0" borderId="0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39" xfId="0" applyBorder="1" applyAlignment="1">
      <alignment horizontal="center"/>
    </xf>
    <xf numFmtId="0" fontId="0" fillId="0" borderId="237" xfId="0" applyBorder="1" applyAlignment="1">
      <alignment horizontal="center"/>
    </xf>
    <xf numFmtId="0" fontId="0" fillId="0" borderId="237" xfId="0" applyBorder="1"/>
    <xf numFmtId="0" fontId="19" fillId="0" borderId="0" xfId="0" applyFont="1" applyBorder="1" applyAlignment="1"/>
    <xf numFmtId="0" fontId="0" fillId="0" borderId="240" xfId="0" applyNumberFormat="1" applyFill="1" applyBorder="1"/>
    <xf numFmtId="0" fontId="0" fillId="0" borderId="41" xfId="0" applyFont="1" applyFill="1" applyBorder="1"/>
    <xf numFmtId="0" fontId="1" fillId="0" borderId="163" xfId="0" applyFont="1" applyFill="1" applyBorder="1"/>
    <xf numFmtId="0" fontId="0" fillId="0" borderId="235" xfId="0" applyBorder="1" applyAlignment="1">
      <alignment horizontal="center"/>
    </xf>
    <xf numFmtId="164" fontId="0" fillId="0" borderId="222" xfId="0" applyNumberFormat="1" applyFill="1" applyBorder="1"/>
    <xf numFmtId="43" fontId="0" fillId="0" borderId="241" xfId="0" applyNumberFormat="1" applyBorder="1"/>
    <xf numFmtId="0" fontId="0" fillId="0" borderId="64" xfId="0" applyBorder="1" applyAlignment="1">
      <alignment horizontal="center"/>
    </xf>
    <xf numFmtId="0" fontId="0" fillId="0" borderId="241" xfId="0" applyBorder="1" applyAlignment="1">
      <alignment horizontal="center"/>
    </xf>
    <xf numFmtId="0" fontId="0" fillId="0" borderId="242" xfId="0" applyNumberFormat="1" applyFill="1" applyBorder="1" applyAlignment="1"/>
    <xf numFmtId="0" fontId="1" fillId="0" borderId="220" xfId="0" applyFont="1" applyFill="1" applyBorder="1" applyAlignment="1">
      <alignment horizontal="center"/>
    </xf>
    <xf numFmtId="0" fontId="1" fillId="0" borderId="221" xfId="0" applyFont="1" applyFill="1" applyBorder="1" applyAlignment="1">
      <alignment horizontal="center"/>
    </xf>
    <xf numFmtId="0" fontId="1" fillId="0" borderId="37" xfId="0" applyFont="1" applyFill="1" applyBorder="1" applyAlignment="1"/>
    <xf numFmtId="0" fontId="0" fillId="0" borderId="36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164" fontId="0" fillId="0" borderId="222" xfId="0" applyNumberFormat="1" applyFill="1" applyBorder="1" applyAlignment="1">
      <alignment horizontal="center"/>
    </xf>
    <xf numFmtId="0" fontId="1" fillId="0" borderId="224" xfId="0" applyFont="1" applyFill="1" applyBorder="1" applyAlignment="1"/>
    <xf numFmtId="0" fontId="1" fillId="0" borderId="220" xfId="0" applyFont="1" applyFill="1" applyBorder="1" applyAlignment="1"/>
    <xf numFmtId="0" fontId="1" fillId="0" borderId="221" xfId="0" applyFont="1" applyFill="1" applyBorder="1" applyAlignment="1"/>
    <xf numFmtId="0" fontId="0" fillId="0" borderId="35" xfId="0" applyFill="1" applyBorder="1" applyAlignment="1"/>
    <xf numFmtId="164" fontId="0" fillId="0" borderId="222" xfId="0" applyNumberFormat="1" applyFill="1" applyBorder="1" applyAlignment="1"/>
    <xf numFmtId="0" fontId="0" fillId="0" borderId="223" xfId="0" applyBorder="1" applyAlignment="1">
      <alignment horizontal="center" vertical="center" wrapText="1"/>
    </xf>
    <xf numFmtId="0" fontId="0" fillId="0" borderId="224" xfId="0" applyFill="1" applyBorder="1" applyAlignment="1">
      <alignment vertical="center" wrapText="1"/>
    </xf>
    <xf numFmtId="0" fontId="0" fillId="0" borderId="225" xfId="0" applyFill="1" applyBorder="1" applyAlignment="1">
      <alignment vertical="center" wrapText="1"/>
    </xf>
    <xf numFmtId="0" fontId="0" fillId="0" borderId="226" xfId="0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43" fontId="0" fillId="0" borderId="207" xfId="0" applyNumberFormat="1" applyBorder="1"/>
    <xf numFmtId="0" fontId="0" fillId="0" borderId="207" xfId="0" applyBorder="1" applyAlignment="1">
      <alignment vertical="center"/>
    </xf>
    <xf numFmtId="43" fontId="0" fillId="0" borderId="243" xfId="0" applyNumberFormat="1" applyBorder="1"/>
    <xf numFmtId="0" fontId="1" fillId="0" borderId="53" xfId="0" applyFont="1" applyBorder="1"/>
    <xf numFmtId="0" fontId="1" fillId="0" borderId="236" xfId="0" applyFont="1" applyBorder="1"/>
    <xf numFmtId="0" fontId="0" fillId="0" borderId="244" xfId="0" applyBorder="1" applyAlignment="1">
      <alignment horizontal="center"/>
    </xf>
    <xf numFmtId="0" fontId="0" fillId="0" borderId="244" xfId="0" applyBorder="1"/>
    <xf numFmtId="0" fontId="1" fillId="0" borderId="6" xfId="0" applyFont="1" applyBorder="1" applyAlignment="1">
      <alignment horizontal="center"/>
    </xf>
    <xf numFmtId="0" fontId="0" fillId="0" borderId="234" xfId="0" applyBorder="1"/>
    <xf numFmtId="164" fontId="0" fillId="11" borderId="74" xfId="0" applyNumberFormat="1" applyFill="1" applyBorder="1"/>
    <xf numFmtId="0" fontId="0" fillId="0" borderId="41" xfId="0" applyBorder="1"/>
    <xf numFmtId="0" fontId="0" fillId="0" borderId="245" xfId="0" applyBorder="1" applyAlignment="1">
      <alignment horizontal="center" vertical="center" wrapText="1"/>
    </xf>
    <xf numFmtId="0" fontId="0" fillId="0" borderId="239" xfId="0" applyBorder="1" applyAlignment="1">
      <alignment horizontal="center" vertical="center" wrapText="1"/>
    </xf>
    <xf numFmtId="0" fontId="0" fillId="0" borderId="0" xfId="0" applyFill="1"/>
    <xf numFmtId="43" fontId="0" fillId="0" borderId="246" xfId="0" applyNumberFormat="1" applyBorder="1"/>
    <xf numFmtId="43" fontId="0" fillId="0" borderId="247" xfId="0" applyNumberFormat="1" applyBorder="1"/>
    <xf numFmtId="0" fontId="1" fillId="0" borderId="248" xfId="0" applyFont="1" applyBorder="1"/>
    <xf numFmtId="0" fontId="1" fillId="0" borderId="249" xfId="0" applyFont="1" applyBorder="1"/>
    <xf numFmtId="0" fontId="0" fillId="0" borderId="250" xfId="0" applyBorder="1" applyAlignment="1">
      <alignment horizontal="center"/>
    </xf>
    <xf numFmtId="0" fontId="0" fillId="0" borderId="250" xfId="0" applyBorder="1"/>
    <xf numFmtId="43" fontId="0" fillId="30" borderId="229" xfId="0" applyNumberFormat="1" applyFill="1" applyBorder="1"/>
    <xf numFmtId="164" fontId="0" fillId="30" borderId="74" xfId="0" applyNumberFormat="1" applyFill="1" applyBorder="1"/>
    <xf numFmtId="43" fontId="0" fillId="0" borderId="251" xfId="0" applyNumberFormat="1" applyBorder="1"/>
    <xf numFmtId="0" fontId="1" fillId="0" borderId="252" xfId="0" applyFont="1" applyBorder="1" applyAlignment="1">
      <alignment horizontal="center"/>
    </xf>
    <xf numFmtId="0" fontId="0" fillId="0" borderId="253" xfId="0" applyBorder="1" applyAlignment="1">
      <alignment horizontal="center" vertical="center" wrapText="1"/>
    </xf>
    <xf numFmtId="0" fontId="0" fillId="0" borderId="254" xfId="0" applyBorder="1" applyAlignment="1">
      <alignment horizontal="center" vertical="center" wrapText="1"/>
    </xf>
    <xf numFmtId="0" fontId="0" fillId="0" borderId="251" xfId="0" applyBorder="1" applyAlignment="1">
      <alignment horizontal="center"/>
    </xf>
    <xf numFmtId="0" fontId="0" fillId="0" borderId="251" xfId="0" applyBorder="1"/>
    <xf numFmtId="43" fontId="0" fillId="0" borderId="6" xfId="0" applyNumberFormat="1" applyBorder="1"/>
    <xf numFmtId="0" fontId="1" fillId="0" borderId="255" xfId="0" applyFont="1" applyBorder="1"/>
    <xf numFmtId="0" fontId="0" fillId="0" borderId="256" xfId="0" applyBorder="1" applyAlignment="1">
      <alignment horizontal="center"/>
    </xf>
    <xf numFmtId="0" fontId="19" fillId="0" borderId="0" xfId="0" applyFont="1" applyFill="1" applyBorder="1" applyAlignment="1"/>
    <xf numFmtId="0" fontId="0" fillId="0" borderId="248" xfId="0" applyBorder="1" applyAlignment="1">
      <alignment horizontal="center"/>
    </xf>
    <xf numFmtId="0" fontId="0" fillId="0" borderId="6" xfId="0" applyFill="1" applyBorder="1"/>
    <xf numFmtId="43" fontId="0" fillId="0" borderId="257" xfId="0" applyNumberFormat="1" applyBorder="1"/>
    <xf numFmtId="43" fontId="0" fillId="0" borderId="258" xfId="0" applyNumberFormat="1" applyBorder="1"/>
    <xf numFmtId="0" fontId="1" fillId="0" borderId="259" xfId="0" applyFont="1" applyBorder="1"/>
    <xf numFmtId="0" fontId="0" fillId="0" borderId="260" xfId="0" applyBorder="1" applyAlignment="1">
      <alignment horizontal="center"/>
    </xf>
    <xf numFmtId="0" fontId="0" fillId="0" borderId="261" xfId="0" applyBorder="1" applyAlignment="1">
      <alignment horizontal="center"/>
    </xf>
    <xf numFmtId="0" fontId="0" fillId="0" borderId="262" xfId="0" applyBorder="1"/>
    <xf numFmtId="0" fontId="0" fillId="0" borderId="263" xfId="0" applyFill="1" applyBorder="1" applyAlignment="1">
      <alignment horizontal="center"/>
    </xf>
    <xf numFmtId="43" fontId="0" fillId="0" borderId="11" xfId="0" applyNumberFormat="1" applyFill="1" applyBorder="1"/>
    <xf numFmtId="0" fontId="8" fillId="0" borderId="6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66" xfId="0" applyFill="1" applyBorder="1" applyAlignment="1">
      <alignment horizontal="center"/>
    </xf>
    <xf numFmtId="0" fontId="0" fillId="0" borderId="266" xfId="0" applyFill="1" applyBorder="1"/>
    <xf numFmtId="43" fontId="0" fillId="0" borderId="190" xfId="0" applyNumberFormat="1" applyFill="1" applyBorder="1"/>
    <xf numFmtId="0" fontId="0" fillId="0" borderId="0" xfId="0" applyAlignment="1">
      <alignment horizontal="left"/>
    </xf>
    <xf numFmtId="0" fontId="61" fillId="0" borderId="0" xfId="0" applyFont="1" applyBorder="1" applyAlignment="1">
      <alignment horizontal="left" indent="1"/>
    </xf>
    <xf numFmtId="0" fontId="3" fillId="0" borderId="0" xfId="0" applyFont="1" applyFill="1" applyBorder="1" applyAlignment="1">
      <alignment horizontal="center"/>
    </xf>
    <xf numFmtId="43" fontId="38" fillId="8" borderId="102" xfId="0" applyNumberFormat="1" applyFont="1" applyFill="1" applyBorder="1" applyAlignment="1">
      <alignment horizontal="center"/>
    </xf>
    <xf numFmtId="43" fontId="38" fillId="8" borderId="104" xfId="0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Fill="1" applyBorder="1" applyAlignment="1">
      <alignment horizontal="center"/>
    </xf>
    <xf numFmtId="16" fontId="3" fillId="7" borderId="12" xfId="0" applyNumberFormat="1" applyFont="1" applyFill="1" applyBorder="1" applyAlignment="1"/>
    <xf numFmtId="49" fontId="3" fillId="7" borderId="12" xfId="0" applyNumberFormat="1" applyFont="1" applyFill="1" applyBorder="1" applyAlignment="1"/>
    <xf numFmtId="43" fontId="71" fillId="26" borderId="102" xfId="0" applyNumberFormat="1" applyFont="1" applyFill="1" applyBorder="1" applyAlignment="1">
      <alignment horizontal="center"/>
    </xf>
    <xf numFmtId="43" fontId="71" fillId="26" borderId="104" xfId="0" applyNumberFormat="1" applyFont="1" applyFill="1" applyBorder="1" applyAlignment="1">
      <alignment horizontal="center"/>
    </xf>
    <xf numFmtId="0" fontId="3" fillId="0" borderId="12" xfId="0" applyNumberFormat="1" applyFont="1" applyBorder="1"/>
    <xf numFmtId="0" fontId="3" fillId="26" borderId="103" xfId="0" applyNumberFormat="1" applyFont="1" applyFill="1" applyBorder="1" applyAlignment="1">
      <alignment horizontal="center"/>
    </xf>
    <xf numFmtId="0" fontId="3" fillId="26" borderId="1" xfId="0" applyNumberFormat="1" applyFont="1" applyFill="1" applyBorder="1"/>
    <xf numFmtId="0" fontId="3" fillId="6" borderId="12" xfId="0" applyNumberFormat="1" applyFont="1" applyFill="1" applyBorder="1" applyAlignment="1">
      <alignment horizontal="left"/>
    </xf>
    <xf numFmtId="0" fontId="3" fillId="26" borderId="103" xfId="0" applyNumberFormat="1" applyFont="1" applyFill="1" applyBorder="1"/>
    <xf numFmtId="0" fontId="36" fillId="26" borderId="1" xfId="0" applyNumberFormat="1" applyFont="1" applyFill="1" applyBorder="1"/>
    <xf numFmtId="0" fontId="3" fillId="26" borderId="104" xfId="0" applyNumberFormat="1" applyFont="1" applyFill="1" applyBorder="1"/>
    <xf numFmtId="0" fontId="3" fillId="0" borderId="103" xfId="0" applyNumberFormat="1" applyFont="1" applyFill="1" applyBorder="1"/>
    <xf numFmtId="0" fontId="3" fillId="6" borderId="1" xfId="0" applyNumberFormat="1" applyFont="1" applyFill="1" applyBorder="1" applyAlignment="1">
      <alignment horizontal="center"/>
    </xf>
    <xf numFmtId="0" fontId="3" fillId="0" borderId="0" xfId="0" applyNumberFormat="1" applyFont="1" applyBorder="1"/>
    <xf numFmtId="0" fontId="0" fillId="0" borderId="0" xfId="0" applyNumberFormat="1" applyBorder="1"/>
    <xf numFmtId="0" fontId="0" fillId="0" borderId="0" xfId="0" applyNumberFormat="1"/>
    <xf numFmtId="43" fontId="1" fillId="0" borderId="0" xfId="1" applyNumberFormat="1" applyFont="1" applyBorder="1"/>
    <xf numFmtId="43" fontId="0" fillId="33" borderId="229" xfId="0" applyNumberFormat="1" applyFill="1" applyBorder="1"/>
    <xf numFmtId="43" fontId="3" fillId="34" borderId="1" xfId="0" applyNumberFormat="1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43" fontId="3" fillId="30" borderId="6" xfId="1" applyNumberFormat="1" applyFont="1" applyFill="1" applyBorder="1" applyAlignment="1">
      <alignment horizontal="right"/>
    </xf>
    <xf numFmtId="43" fontId="3" fillId="30" borderId="183" xfId="1" applyNumberFormat="1" applyFont="1" applyFill="1" applyBorder="1" applyAlignment="1">
      <alignment horizontal="right"/>
    </xf>
    <xf numFmtId="0" fontId="42" fillId="0" borderId="190" xfId="0" applyFont="1" applyBorder="1" applyAlignment="1">
      <alignment horizontal="center"/>
    </xf>
    <xf numFmtId="0" fontId="10" fillId="0" borderId="170" xfId="0" applyFont="1" applyBorder="1" applyAlignment="1">
      <alignment horizontal="center"/>
    </xf>
    <xf numFmtId="0" fontId="10" fillId="0" borderId="190" xfId="0" applyFont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24" fillId="29" borderId="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6" fillId="0" borderId="9" xfId="0" applyNumberFormat="1" applyFont="1" applyFill="1" applyBorder="1" applyAlignment="1">
      <alignment horizontal="center"/>
    </xf>
    <xf numFmtId="43" fontId="3" fillId="0" borderId="9" xfId="0" applyNumberFormat="1" applyFont="1" applyFill="1" applyBorder="1"/>
    <xf numFmtId="43" fontId="3" fillId="0" borderId="8" xfId="0" applyNumberFormat="1" applyFont="1" applyFill="1" applyBorder="1"/>
    <xf numFmtId="43" fontId="38" fillId="0" borderId="27" xfId="0" applyNumberFormat="1" applyFont="1" applyFill="1" applyBorder="1"/>
    <xf numFmtId="43" fontId="38" fillId="0" borderId="9" xfId="0" applyNumberFormat="1" applyFont="1" applyFill="1" applyBorder="1"/>
    <xf numFmtId="49" fontId="3" fillId="0" borderId="172" xfId="0" applyNumberFormat="1" applyFont="1" applyBorder="1"/>
    <xf numFmtId="0" fontId="3" fillId="26" borderId="270" xfId="0" applyFont="1" applyFill="1" applyBorder="1" applyAlignment="1">
      <alignment horizontal="center"/>
    </xf>
    <xf numFmtId="0" fontId="3" fillId="26" borderId="190" xfId="0" applyFont="1" applyFill="1" applyBorder="1"/>
    <xf numFmtId="43" fontId="71" fillId="26" borderId="271" xfId="0" applyNumberFormat="1" applyFont="1" applyFill="1" applyBorder="1" applyAlignment="1">
      <alignment horizontal="center"/>
    </xf>
    <xf numFmtId="0" fontId="6" fillId="0" borderId="170" xfId="0" applyNumberFormat="1" applyFont="1" applyFill="1" applyBorder="1" applyAlignment="1">
      <alignment horizontal="center"/>
    </xf>
    <xf numFmtId="0" fontId="3" fillId="6" borderId="172" xfId="0" applyFont="1" applyFill="1" applyBorder="1" applyAlignment="1">
      <alignment horizontal="left"/>
    </xf>
    <xf numFmtId="0" fontId="3" fillId="26" borderId="270" xfId="0" applyFont="1" applyFill="1" applyBorder="1"/>
    <xf numFmtId="43" fontId="3" fillId="26" borderId="190" xfId="0" applyNumberFormat="1" applyFont="1" applyFill="1" applyBorder="1"/>
    <xf numFmtId="43" fontId="36" fillId="26" borderId="190" xfId="0" applyNumberFormat="1" applyFont="1" applyFill="1" applyBorder="1"/>
    <xf numFmtId="43" fontId="3" fillId="26" borderId="271" xfId="0" applyNumberFormat="1" applyFont="1" applyFill="1" applyBorder="1"/>
    <xf numFmtId="43" fontId="3" fillId="0" borderId="170" xfId="0" applyNumberFormat="1" applyFont="1" applyFill="1" applyBorder="1" applyAlignment="1">
      <alignment horizontal="center"/>
    </xf>
    <xf numFmtId="0" fontId="3" fillId="0" borderId="172" xfId="0" applyNumberFormat="1" applyFont="1" applyFill="1" applyBorder="1" applyAlignment="1">
      <alignment horizontal="center"/>
    </xf>
    <xf numFmtId="43" fontId="3" fillId="0" borderId="190" xfId="0" applyNumberFormat="1" applyFont="1" applyFill="1" applyBorder="1"/>
    <xf numFmtId="43" fontId="3" fillId="26" borderId="270" xfId="0" applyNumberFormat="1" applyFont="1" applyFill="1" applyBorder="1"/>
    <xf numFmtId="43" fontId="3" fillId="0" borderId="170" xfId="0" applyNumberFormat="1" applyFont="1" applyFill="1" applyBorder="1"/>
    <xf numFmtId="43" fontId="3" fillId="34" borderId="190" xfId="0" applyNumberFormat="1" applyFont="1" applyFill="1" applyBorder="1"/>
    <xf numFmtId="49" fontId="3" fillId="0" borderId="7" xfId="0" applyNumberFormat="1" applyFont="1" applyFill="1" applyBorder="1"/>
    <xf numFmtId="0" fontId="3" fillId="0" borderId="267" xfId="0" applyFont="1" applyFill="1" applyBorder="1" applyAlignment="1">
      <alignment horizontal="center"/>
    </xf>
    <xf numFmtId="0" fontId="3" fillId="0" borderId="108" xfId="0" applyFont="1" applyFill="1" applyBorder="1"/>
    <xf numFmtId="43" fontId="71" fillId="0" borderId="98" xfId="0" applyNumberFormat="1" applyFont="1" applyFill="1" applyBorder="1" applyAlignment="1">
      <alignment horizontal="center"/>
    </xf>
    <xf numFmtId="0" fontId="3" fillId="0" borderId="267" xfId="0" applyFont="1" applyFill="1" applyBorder="1"/>
    <xf numFmtId="43" fontId="3" fillId="0" borderId="108" xfId="0" applyNumberFormat="1" applyFont="1" applyFill="1" applyBorder="1"/>
    <xf numFmtId="43" fontId="36" fillId="0" borderId="108" xfId="0" applyNumberFormat="1" applyFont="1" applyFill="1" applyBorder="1"/>
    <xf numFmtId="43" fontId="3" fillId="0" borderId="98" xfId="0" applyNumberFormat="1" applyFont="1" applyFill="1" applyBorder="1"/>
    <xf numFmtId="43" fontId="3" fillId="0" borderId="9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/>
    </xf>
    <xf numFmtId="43" fontId="38" fillId="0" borderId="269" xfId="0" applyNumberFormat="1" applyFont="1" applyFill="1" applyBorder="1"/>
    <xf numFmtId="43" fontId="3" fillId="0" borderId="11" xfId="0" applyNumberFormat="1" applyFont="1" applyFill="1" applyBorder="1"/>
    <xf numFmtId="0" fontId="3" fillId="0" borderId="190" xfId="0" applyFont="1" applyBorder="1"/>
    <xf numFmtId="0" fontId="3" fillId="6" borderId="272" xfId="0" applyFont="1" applyFill="1" applyBorder="1" applyAlignment="1">
      <alignment horizontal="left"/>
    </xf>
    <xf numFmtId="0" fontId="3" fillId="8" borderId="273" xfId="0" applyFont="1" applyFill="1" applyBorder="1"/>
    <xf numFmtId="43" fontId="3" fillId="8" borderId="26" xfId="0" applyNumberFormat="1" applyFont="1" applyFill="1" applyBorder="1"/>
    <xf numFmtId="43" fontId="36" fillId="8" borderId="26" xfId="0" applyNumberFormat="1" applyFont="1" applyFill="1" applyBorder="1" applyAlignment="1">
      <alignment horizontal="center"/>
    </xf>
    <xf numFmtId="43" fontId="3" fillId="34" borderId="10" xfId="0" applyNumberFormat="1" applyFont="1" applyFill="1" applyBorder="1"/>
    <xf numFmtId="0" fontId="3" fillId="7" borderId="2" xfId="0" applyFont="1" applyFill="1" applyBorder="1" applyAlignment="1"/>
    <xf numFmtId="49" fontId="3" fillId="7" borderId="2" xfId="0" applyNumberFormat="1" applyFont="1" applyFill="1" applyBorder="1" applyAlignment="1"/>
    <xf numFmtId="0" fontId="3" fillId="13" borderId="190" xfId="0" applyFont="1" applyFill="1" applyBorder="1"/>
    <xf numFmtId="43" fontId="11" fillId="13" borderId="271" xfId="0" applyNumberFormat="1" applyFont="1" applyFill="1" applyBorder="1" applyAlignment="1">
      <alignment horizontal="center"/>
    </xf>
    <xf numFmtId="16" fontId="3" fillId="6" borderId="190" xfId="0" applyNumberFormat="1" applyFont="1" applyFill="1" applyBorder="1" applyAlignment="1">
      <alignment horizontal="center"/>
    </xf>
    <xf numFmtId="49" fontId="3" fillId="0" borderId="11" xfId="0" applyNumberFormat="1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0" fontId="3" fillId="6" borderId="11" xfId="0" applyFont="1" applyFill="1" applyBorder="1" applyAlignment="1">
      <alignment horizontal="left"/>
    </xf>
    <xf numFmtId="0" fontId="36" fillId="0" borderId="11" xfId="0" applyFont="1" applyFill="1" applyBorder="1"/>
    <xf numFmtId="43" fontId="22" fillId="0" borderId="11" xfId="0" applyNumberFormat="1" applyFont="1" applyFill="1" applyBorder="1"/>
    <xf numFmtId="0" fontId="73" fillId="0" borderId="0" xfId="0" applyFont="1" applyAlignment="1">
      <alignment horizontal="center"/>
    </xf>
    <xf numFmtId="43" fontId="10" fillId="0" borderId="0" xfId="0" applyNumberFormat="1" applyFont="1" applyFill="1" applyBorder="1"/>
    <xf numFmtId="43" fontId="10" fillId="0" borderId="53" xfId="0" applyNumberFormat="1" applyFont="1" applyBorder="1"/>
    <xf numFmtId="43" fontId="18" fillId="0" borderId="0" xfId="0" applyNumberFormat="1" applyFont="1"/>
    <xf numFmtId="0" fontId="22" fillId="0" borderId="0" xfId="0" applyFont="1" applyBorder="1" applyAlignment="1">
      <alignment horizontal="center"/>
    </xf>
    <xf numFmtId="1" fontId="3" fillId="8" borderId="269" xfId="0" applyNumberFormat="1" applyFont="1" applyFill="1" applyBorder="1"/>
    <xf numFmtId="43" fontId="3" fillId="8" borderId="27" xfId="0" applyNumberFormat="1" applyFont="1" applyFill="1" applyBorder="1"/>
    <xf numFmtId="43" fontId="36" fillId="8" borderId="27" xfId="0" applyNumberFormat="1" applyFont="1" applyFill="1" applyBorder="1"/>
    <xf numFmtId="0" fontId="8" fillId="0" borderId="0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3" fillId="0" borderId="147" xfId="0" applyFont="1" applyBorder="1"/>
    <xf numFmtId="0" fontId="3" fillId="0" borderId="198" xfId="0" applyFont="1" applyBorder="1"/>
    <xf numFmtId="43" fontId="3" fillId="8" borderId="197" xfId="0" applyNumberFormat="1" applyFont="1" applyFill="1" applyBorder="1"/>
    <xf numFmtId="0" fontId="3" fillId="0" borderId="196" xfId="0" applyFont="1" applyBorder="1"/>
    <xf numFmtId="43" fontId="3" fillId="8" borderId="199" xfId="0" applyNumberFormat="1" applyFont="1" applyFill="1" applyBorder="1"/>
    <xf numFmtId="0" fontId="3" fillId="0" borderId="194" xfId="0" applyFont="1" applyBorder="1"/>
    <xf numFmtId="0" fontId="3" fillId="0" borderId="193" xfId="0" applyNumberFormat="1" applyFont="1" applyFill="1" applyBorder="1" applyAlignment="1">
      <alignment horizontal="center"/>
    </xf>
    <xf numFmtId="0" fontId="5" fillId="0" borderId="0" xfId="0" applyFont="1" applyBorder="1" applyAlignment="1"/>
    <xf numFmtId="0" fontId="8" fillId="0" borderId="6" xfId="0" applyFont="1" applyFill="1" applyBorder="1" applyAlignment="1">
      <alignment vertical="center"/>
    </xf>
    <xf numFmtId="49" fontId="3" fillId="0" borderId="274" xfId="0" applyNumberFormat="1" applyFont="1" applyBorder="1"/>
    <xf numFmtId="0" fontId="3" fillId="0" borderId="267" xfId="0" applyFont="1" applyBorder="1"/>
    <xf numFmtId="0" fontId="3" fillId="0" borderId="108" xfId="0" applyFont="1" applyBorder="1"/>
    <xf numFmtId="0" fontId="4" fillId="0" borderId="98" xfId="0" applyFont="1" applyBorder="1" applyAlignment="1">
      <alignment horizontal="center"/>
    </xf>
    <xf numFmtId="49" fontId="6" fillId="0" borderId="276" xfId="0" applyNumberFormat="1" applyFont="1" applyBorder="1" applyAlignment="1">
      <alignment horizontal="center"/>
    </xf>
    <xf numFmtId="0" fontId="3" fillId="2" borderId="277" xfId="0" applyNumberFormat="1" applyFont="1" applyFill="1" applyBorder="1"/>
    <xf numFmtId="0" fontId="3" fillId="2" borderId="278" xfId="0" applyNumberFormat="1" applyFont="1" applyFill="1" applyBorder="1"/>
    <xf numFmtId="0" fontId="6" fillId="0" borderId="279" xfId="0" applyNumberFormat="1" applyFont="1" applyBorder="1" applyAlignment="1">
      <alignment horizontal="center"/>
    </xf>
    <xf numFmtId="0" fontId="0" fillId="0" borderId="280" xfId="0" applyBorder="1"/>
    <xf numFmtId="0" fontId="3" fillId="13" borderId="281" xfId="0" applyFont="1" applyFill="1" applyBorder="1"/>
    <xf numFmtId="0" fontId="3" fillId="13" borderId="282" xfId="0" applyFont="1" applyFill="1" applyBorder="1"/>
    <xf numFmtId="0" fontId="36" fillId="13" borderId="282" xfId="0" applyNumberFormat="1" applyFont="1" applyFill="1" applyBorder="1" applyAlignment="1">
      <alignment horizontal="center"/>
    </xf>
    <xf numFmtId="0" fontId="3" fillId="0" borderId="27" xfId="0" applyFont="1" applyBorder="1"/>
    <xf numFmtId="0" fontId="3" fillId="0" borderId="27" xfId="0" applyFont="1" applyBorder="1" applyAlignment="1">
      <alignment horizontal="center"/>
    </xf>
    <xf numFmtId="0" fontId="36" fillId="0" borderId="7" xfId="0" applyNumberFormat="1" applyFont="1" applyBorder="1" applyAlignment="1">
      <alignment horizontal="center"/>
    </xf>
    <xf numFmtId="0" fontId="5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3" fillId="0" borderId="8" xfId="0" applyNumberFormat="1" applyFont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13" borderId="282" xfId="0" applyNumberFormat="1" applyFont="1" applyFill="1" applyBorder="1" applyAlignment="1">
      <alignment horizontal="center"/>
    </xf>
    <xf numFmtId="43" fontId="3" fillId="0" borderId="2" xfId="0" applyNumberFormat="1" applyFont="1" applyFill="1" applyBorder="1"/>
    <xf numFmtId="43" fontId="3" fillId="0" borderId="1" xfId="0" applyNumberFormat="1" applyFont="1" applyBorder="1"/>
    <xf numFmtId="9" fontId="3" fillId="0" borderId="1" xfId="0" applyNumberFormat="1" applyFont="1" applyFill="1" applyBorder="1"/>
    <xf numFmtId="43" fontId="3" fillId="0" borderId="10" xfId="0" applyNumberFormat="1" applyFont="1" applyBorder="1"/>
    <xf numFmtId="43" fontId="3" fillId="0" borderId="4" xfId="0" applyNumberFormat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0" fontId="3" fillId="0" borderId="2" xfId="0" applyFont="1" applyBorder="1"/>
    <xf numFmtId="43" fontId="3" fillId="34" borderId="12" xfId="0" applyNumberFormat="1" applyFont="1" applyFill="1" applyBorder="1"/>
    <xf numFmtId="43" fontId="3" fillId="34" borderId="172" xfId="0" applyNumberFormat="1" applyFont="1" applyFill="1" applyBorder="1"/>
    <xf numFmtId="43" fontId="3" fillId="0" borderId="7" xfId="0" applyNumberFormat="1" applyFont="1" applyFill="1" applyBorder="1"/>
    <xf numFmtId="0" fontId="10" fillId="0" borderId="137" xfId="0" applyFont="1" applyBorder="1"/>
    <xf numFmtId="0" fontId="3" fillId="0" borderId="136" xfId="0" applyFont="1" applyBorder="1"/>
    <xf numFmtId="0" fontId="3" fillId="0" borderId="103" xfId="0" applyFont="1" applyFill="1" applyBorder="1"/>
    <xf numFmtId="43" fontId="0" fillId="3" borderId="104" xfId="0" applyNumberFormat="1" applyFill="1" applyBorder="1"/>
    <xf numFmtId="43" fontId="3" fillId="3" borderId="104" xfId="0" applyNumberFormat="1" applyFont="1" applyFill="1" applyBorder="1"/>
    <xf numFmtId="0" fontId="3" fillId="0" borderId="279" xfId="0" applyFont="1" applyFill="1" applyBorder="1"/>
    <xf numFmtId="164" fontId="3" fillId="6" borderId="281" xfId="0" applyNumberFormat="1" applyFont="1" applyFill="1" applyBorder="1" applyAlignment="1">
      <alignment horizontal="center"/>
    </xf>
    <xf numFmtId="0" fontId="3" fillId="6" borderId="281" xfId="0" applyFont="1" applyFill="1" applyBorder="1" applyAlignment="1">
      <alignment horizontal="center"/>
    </xf>
    <xf numFmtId="0" fontId="3" fillId="0" borderId="281" xfId="0" applyNumberFormat="1" applyFont="1" applyFill="1" applyBorder="1" applyAlignment="1">
      <alignment horizontal="center"/>
    </xf>
    <xf numFmtId="43" fontId="3" fillId="3" borderId="283" xfId="0" applyNumberFormat="1" applyFont="1" applyFill="1" applyBorder="1"/>
    <xf numFmtId="0" fontId="3" fillId="0" borderId="101" xfId="0" applyFont="1" applyFill="1" applyBorder="1"/>
    <xf numFmtId="164" fontId="3" fillId="0" borderId="101" xfId="0" applyNumberFormat="1" applyFont="1" applyFill="1" applyBorder="1" applyAlignment="1">
      <alignment horizontal="center"/>
    </xf>
    <xf numFmtId="0" fontId="3" fillId="0" borderId="101" xfId="0" applyFont="1" applyFill="1" applyBorder="1" applyAlignment="1">
      <alignment horizontal="center"/>
    </xf>
    <xf numFmtId="0" fontId="3" fillId="0" borderId="101" xfId="0" applyNumberFormat="1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3" fillId="8" borderId="103" xfId="0" applyFont="1" applyFill="1" applyBorder="1" applyAlignment="1">
      <alignment horizontal="center"/>
    </xf>
    <xf numFmtId="0" fontId="3" fillId="13" borderId="270" xfId="0" applyFont="1" applyFill="1" applyBorder="1" applyAlignment="1">
      <alignment horizontal="center"/>
    </xf>
    <xf numFmtId="0" fontId="37" fillId="0" borderId="3" xfId="0" applyFont="1" applyFill="1" applyBorder="1" applyAlignment="1">
      <alignment vertical="center"/>
    </xf>
    <xf numFmtId="0" fontId="50" fillId="11" borderId="27" xfId="0" applyFont="1" applyFill="1" applyBorder="1" applyAlignment="1">
      <alignment vertical="center"/>
    </xf>
    <xf numFmtId="0" fontId="3" fillId="8" borderId="27" xfId="0" applyFont="1" applyFill="1" applyBorder="1" applyAlignment="1">
      <alignment horizontal="center"/>
    </xf>
    <xf numFmtId="0" fontId="18" fillId="0" borderId="27" xfId="0" applyFont="1" applyBorder="1" applyAlignment="1">
      <alignment horizontal="center"/>
    </xf>
    <xf numFmtId="0" fontId="36" fillId="0" borderId="27" xfId="0" applyFont="1" applyBorder="1" applyAlignment="1">
      <alignment horizontal="center"/>
    </xf>
    <xf numFmtId="0" fontId="18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37" fillId="11" borderId="1" xfId="0" applyFont="1" applyFill="1" applyBorder="1" applyAlignment="1">
      <alignment vertical="center"/>
    </xf>
    <xf numFmtId="0" fontId="1" fillId="11" borderId="1" xfId="0" applyFont="1" applyFill="1" applyBorder="1" applyAlignment="1">
      <alignment vertical="center"/>
    </xf>
    <xf numFmtId="0" fontId="10" fillId="0" borderId="1" xfId="0" applyFont="1" applyBorder="1"/>
    <xf numFmtId="0" fontId="7" fillId="0" borderId="1" xfId="0" applyFont="1" applyBorder="1" applyAlignment="1">
      <alignment vertical="center"/>
    </xf>
    <xf numFmtId="16" fontId="38" fillId="0" borderId="285" xfId="0" applyNumberFormat="1" applyFont="1" applyFill="1" applyBorder="1" applyAlignment="1">
      <alignment horizontal="center"/>
    </xf>
    <xf numFmtId="43" fontId="22" fillId="0" borderId="1" xfId="0" applyNumberFormat="1" applyFont="1" applyFill="1" applyBorder="1" applyAlignment="1">
      <alignment horizontal="center"/>
    </xf>
    <xf numFmtId="43" fontId="2" fillId="0" borderId="1" xfId="0" applyNumberFormat="1" applyFont="1" applyFill="1" applyBorder="1"/>
    <xf numFmtId="1" fontId="3" fillId="0" borderId="0" xfId="0" applyNumberFormat="1" applyFont="1" applyAlignment="1">
      <alignment horizontal="center"/>
    </xf>
    <xf numFmtId="1" fontId="17" fillId="0" borderId="0" xfId="0" applyNumberFormat="1" applyFont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1" fontId="36" fillId="0" borderId="0" xfId="0" applyNumberFormat="1" applyFont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43" fontId="22" fillId="6" borderId="280" xfId="0" applyNumberFormat="1" applyFont="1" applyFill="1" applyBorder="1"/>
    <xf numFmtId="0" fontId="0" fillId="0" borderId="280" xfId="0" applyBorder="1" applyAlignment="1">
      <alignment horizontal="center"/>
    </xf>
    <xf numFmtId="43" fontId="22" fillId="6" borderId="286" xfId="0" applyNumberFormat="1" applyFont="1" applyFill="1" applyBorder="1" applyAlignment="1">
      <alignment horizontal="center"/>
    </xf>
    <xf numFmtId="0" fontId="8" fillId="0" borderId="0" xfId="0" applyFont="1" applyFill="1" applyBorder="1" applyAlignment="1"/>
    <xf numFmtId="1" fontId="17" fillId="0" borderId="0" xfId="0" applyNumberFormat="1" applyFont="1" applyBorder="1" applyAlignment="1">
      <alignment horizontal="center"/>
    </xf>
    <xf numFmtId="1" fontId="29" fillId="0" borderId="0" xfId="0" applyNumberFormat="1" applyFont="1" applyBorder="1" applyAlignment="1">
      <alignment horizontal="center" vertical="center"/>
    </xf>
    <xf numFmtId="1" fontId="29" fillId="0" borderId="17" xfId="0" applyNumberFormat="1" applyFont="1" applyBorder="1" applyAlignment="1">
      <alignment horizontal="center"/>
    </xf>
    <xf numFmtId="1" fontId="29" fillId="0" borderId="18" xfId="0" applyNumberFormat="1" applyFont="1" applyBorder="1" applyAlignment="1">
      <alignment horizontal="center"/>
    </xf>
    <xf numFmtId="1" fontId="29" fillId="0" borderId="19" xfId="0" applyNumberFormat="1" applyFont="1" applyBorder="1" applyAlignment="1">
      <alignment horizontal="center"/>
    </xf>
    <xf numFmtId="1" fontId="29" fillId="0" borderId="0" xfId="0" applyNumberFormat="1" applyFont="1" applyBorder="1" applyAlignment="1">
      <alignment horizontal="center"/>
    </xf>
    <xf numFmtId="43" fontId="3" fillId="0" borderId="101" xfId="0" applyNumberFormat="1" applyFont="1" applyFill="1" applyBorder="1" applyAlignment="1">
      <alignment horizontal="center"/>
    </xf>
    <xf numFmtId="43" fontId="3" fillId="0" borderId="1" xfId="0" applyNumberFormat="1" applyFont="1" applyFill="1" applyBorder="1" applyAlignment="1">
      <alignment horizontal="center"/>
    </xf>
    <xf numFmtId="43" fontId="3" fillId="0" borderId="190" xfId="0" applyNumberFormat="1" applyFont="1" applyFill="1" applyBorder="1" applyAlignment="1">
      <alignment horizontal="center"/>
    </xf>
    <xf numFmtId="43" fontId="38" fillId="0" borderId="228" xfId="0" applyNumberFormat="1" applyFont="1" applyFill="1" applyBorder="1" applyAlignment="1">
      <alignment horizontal="center"/>
    </xf>
    <xf numFmtId="43" fontId="3" fillId="0" borderId="100" xfId="0" applyNumberFormat="1" applyFont="1" applyFill="1" applyBorder="1" applyAlignment="1">
      <alignment horizontal="center"/>
    </xf>
    <xf numFmtId="43" fontId="3" fillId="0" borderId="103" xfId="0" applyNumberFormat="1" applyFont="1" applyFill="1" applyBorder="1" applyAlignment="1">
      <alignment horizontal="center"/>
    </xf>
    <xf numFmtId="43" fontId="3" fillId="0" borderId="270" xfId="0" applyNumberFormat="1" applyFont="1" applyFill="1" applyBorder="1" applyAlignment="1">
      <alignment horizontal="center"/>
    </xf>
    <xf numFmtId="43" fontId="38" fillId="0" borderId="267" xfId="0" applyNumberFormat="1" applyFont="1" applyFill="1" applyBorder="1" applyAlignment="1">
      <alignment horizontal="center"/>
    </xf>
    <xf numFmtId="43" fontId="3" fillId="0" borderId="102" xfId="0" applyNumberFormat="1" applyFont="1" applyFill="1" applyBorder="1" applyAlignment="1">
      <alignment horizontal="center"/>
    </xf>
    <xf numFmtId="43" fontId="3" fillId="0" borderId="104" xfId="0" applyNumberFormat="1" applyFont="1" applyFill="1" applyBorder="1" applyAlignment="1">
      <alignment horizontal="center"/>
    </xf>
    <xf numFmtId="0" fontId="3" fillId="0" borderId="104" xfId="0" applyNumberFormat="1" applyFont="1" applyFill="1" applyBorder="1" applyAlignment="1">
      <alignment horizontal="center"/>
    </xf>
    <xf numFmtId="43" fontId="3" fillId="0" borderId="271" xfId="0" applyNumberFormat="1" applyFont="1" applyFill="1" applyBorder="1" applyAlignment="1">
      <alignment horizontal="center"/>
    </xf>
    <xf numFmtId="43" fontId="3" fillId="0" borderId="268" xfId="0" applyNumberFormat="1" applyFont="1" applyFill="1" applyBorder="1" applyAlignment="1">
      <alignment horizontal="center"/>
    </xf>
    <xf numFmtId="43" fontId="12" fillId="0" borderId="11" xfId="0" applyNumberFormat="1" applyFont="1" applyFill="1" applyBorder="1" applyAlignment="1">
      <alignment horizontal="center"/>
    </xf>
    <xf numFmtId="43" fontId="0" fillId="2" borderId="53" xfId="0" applyNumberFormat="1" applyFill="1" applyBorder="1"/>
    <xf numFmtId="43" fontId="0" fillId="0" borderId="13" xfId="0" applyNumberFormat="1" applyBorder="1"/>
    <xf numFmtId="0" fontId="29" fillId="0" borderId="0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15" fillId="0" borderId="11" xfId="0" applyFont="1" applyFill="1" applyBorder="1" applyAlignment="1">
      <alignment vertical="center"/>
    </xf>
    <xf numFmtId="0" fontId="13" fillId="0" borderId="27" xfId="0" applyFont="1" applyFill="1" applyBorder="1" applyAlignment="1">
      <alignment horizontal="center" vertical="center"/>
    </xf>
    <xf numFmtId="0" fontId="18" fillId="0" borderId="135" xfId="0" applyFont="1" applyBorder="1"/>
    <xf numFmtId="0" fontId="18" fillId="0" borderId="183" xfId="0" applyFont="1" applyBorder="1"/>
    <xf numFmtId="166" fontId="0" fillId="0" borderId="52" xfId="1" applyFont="1" applyBorder="1" applyAlignment="1">
      <alignment horizontal="center"/>
    </xf>
    <xf numFmtId="0" fontId="17" fillId="0" borderId="0" xfId="0" applyNumberFormat="1" applyFont="1" applyBorder="1" applyAlignment="1">
      <alignment horizontal="center"/>
    </xf>
    <xf numFmtId="43" fontId="3" fillId="7" borderId="20" xfId="0" applyNumberFormat="1" applyFont="1" applyFill="1" applyBorder="1"/>
    <xf numFmtId="43" fontId="3" fillId="7" borderId="171" xfId="0" applyNumberFormat="1" applyFont="1" applyFill="1" applyBorder="1"/>
    <xf numFmtId="0" fontId="3" fillId="0" borderId="1" xfId="0" applyFont="1" applyFill="1" applyBorder="1"/>
    <xf numFmtId="0" fontId="3" fillId="0" borderId="1" xfId="0" applyNumberFormat="1" applyFont="1" applyFill="1" applyBorder="1"/>
    <xf numFmtId="0" fontId="3" fillId="0" borderId="281" xfId="0" applyFont="1" applyFill="1" applyBorder="1"/>
    <xf numFmtId="43" fontId="0" fillId="7" borderId="1" xfId="0" applyNumberFormat="1" applyFill="1" applyBorder="1"/>
    <xf numFmtId="43" fontId="3" fillId="0" borderId="172" xfId="0" applyNumberFormat="1" applyFont="1" applyFill="1" applyBorder="1"/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2" fillId="0" borderId="71" xfId="1" applyNumberFormat="1" applyFont="1" applyBorder="1"/>
    <xf numFmtId="43" fontId="17" fillId="0" borderId="60" xfId="1" applyNumberFormat="1" applyFont="1" applyBorder="1"/>
    <xf numFmtId="43" fontId="17" fillId="0" borderId="0" xfId="1" applyNumberFormat="1" applyFont="1" applyBorder="1"/>
    <xf numFmtId="43" fontId="17" fillId="0" borderId="67" xfId="1" applyNumberFormat="1" applyFont="1" applyBorder="1"/>
    <xf numFmtId="0" fontId="43" fillId="0" borderId="10" xfId="0" applyFont="1" applyBorder="1" applyAlignment="1">
      <alignment horizontal="center" vertical="center" wrapText="1"/>
    </xf>
    <xf numFmtId="0" fontId="0" fillId="0" borderId="290" xfId="0" applyBorder="1"/>
    <xf numFmtId="0" fontId="0" fillId="0" borderId="291" xfId="0" applyBorder="1" applyAlignment="1">
      <alignment horizontal="center"/>
    </xf>
    <xf numFmtId="164" fontId="0" fillId="30" borderId="117" xfId="0" applyNumberFormat="1" applyFill="1" applyBorder="1"/>
    <xf numFmtId="43" fontId="0" fillId="11" borderId="60" xfId="0" applyNumberFormat="1" applyFill="1" applyBorder="1"/>
    <xf numFmtId="0" fontId="0" fillId="0" borderId="292" xfId="0" applyBorder="1"/>
    <xf numFmtId="0" fontId="0" fillId="0" borderId="293" xfId="0" applyFill="1" applyBorder="1" applyAlignment="1">
      <alignment horizontal="center"/>
    </xf>
    <xf numFmtId="0" fontId="0" fillId="0" borderId="71" xfId="0" applyBorder="1" applyAlignment="1">
      <alignment horizontal="center"/>
    </xf>
    <xf numFmtId="0" fontId="43" fillId="0" borderId="19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14" fillId="0" borderId="66" xfId="0" applyNumberFormat="1" applyFont="1" applyBorder="1" applyAlignment="1">
      <alignment horizontal="center"/>
    </xf>
    <xf numFmtId="43" fontId="29" fillId="23" borderId="3" xfId="0" applyNumberFormat="1" applyFont="1" applyFill="1" applyBorder="1" applyAlignment="1"/>
    <xf numFmtId="43" fontId="22" fillId="0" borderId="74" xfId="0" applyNumberFormat="1" applyFont="1" applyBorder="1"/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43" fontId="5" fillId="0" borderId="52" xfId="1" applyNumberFormat="1" applyFont="1" applyFill="1" applyBorder="1" applyAlignment="1">
      <alignment vertical="center"/>
    </xf>
    <xf numFmtId="0" fontId="3" fillId="0" borderId="2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166" fontId="0" fillId="10" borderId="147" xfId="1" applyFont="1" applyFill="1" applyBorder="1"/>
    <xf numFmtId="0" fontId="0" fillId="10" borderId="147" xfId="1" applyNumberFormat="1" applyFont="1" applyFill="1" applyBorder="1" applyAlignment="1">
      <alignment horizontal="left"/>
    </xf>
    <xf numFmtId="166" fontId="0" fillId="10" borderId="196" xfId="1" applyNumberFormat="1" applyFont="1" applyFill="1" applyBorder="1" applyAlignment="1">
      <alignment horizontal="left"/>
    </xf>
    <xf numFmtId="166" fontId="0" fillId="2" borderId="0" xfId="1" applyFont="1" applyFill="1" applyBorder="1"/>
    <xf numFmtId="166" fontId="0" fillId="0" borderId="297" xfId="1" applyFont="1" applyBorder="1"/>
    <xf numFmtId="166" fontId="70" fillId="0" borderId="297" xfId="1" applyFont="1" applyBorder="1"/>
    <xf numFmtId="166" fontId="0" fillId="0" borderId="298" xfId="1" applyFont="1" applyBorder="1"/>
    <xf numFmtId="0" fontId="0" fillId="2" borderId="299" xfId="1" applyNumberFormat="1" applyFont="1" applyFill="1" applyBorder="1" applyAlignment="1">
      <alignment horizontal="left"/>
    </xf>
    <xf numFmtId="0" fontId="0" fillId="0" borderId="298" xfId="0" applyBorder="1" applyAlignment="1">
      <alignment horizontal="left"/>
    </xf>
    <xf numFmtId="0" fontId="0" fillId="2" borderId="300" xfId="1" applyNumberFormat="1" applyFont="1" applyFill="1" applyBorder="1" applyAlignment="1">
      <alignment horizontal="left"/>
    </xf>
    <xf numFmtId="166" fontId="0" fillId="0" borderId="301" xfId="1" applyFont="1" applyBorder="1"/>
    <xf numFmtId="166" fontId="1" fillId="2" borderId="59" xfId="1" applyFont="1" applyFill="1" applyBorder="1"/>
    <xf numFmtId="0" fontId="0" fillId="0" borderId="228" xfId="0" applyFont="1" applyBorder="1"/>
    <xf numFmtId="0" fontId="0" fillId="0" borderId="55" xfId="0" applyFont="1" applyFill="1" applyBorder="1" applyAlignment="1">
      <alignment horizontal="right"/>
    </xf>
    <xf numFmtId="0" fontId="3" fillId="0" borderId="115" xfId="0" applyFont="1" applyBorder="1" applyAlignment="1">
      <alignment horizontal="left"/>
    </xf>
    <xf numFmtId="166" fontId="0" fillId="0" borderId="302" xfId="1" applyFont="1" applyBorder="1"/>
    <xf numFmtId="166" fontId="0" fillId="0" borderId="304" xfId="1" applyFont="1" applyBorder="1"/>
    <xf numFmtId="166" fontId="0" fillId="0" borderId="305" xfId="1" applyFont="1" applyBorder="1"/>
    <xf numFmtId="166" fontId="70" fillId="0" borderId="59" xfId="1" applyFont="1" applyBorder="1"/>
    <xf numFmtId="166" fontId="0" fillId="0" borderId="117" xfId="1" applyFont="1" applyBorder="1"/>
    <xf numFmtId="166" fontId="0" fillId="2" borderId="303" xfId="1" applyFont="1" applyFill="1" applyBorder="1"/>
    <xf numFmtId="0" fontId="0" fillId="35" borderId="303" xfId="1" applyNumberFormat="1" applyFont="1" applyFill="1" applyBorder="1" applyAlignment="1">
      <alignment horizontal="left"/>
    </xf>
    <xf numFmtId="0" fontId="0" fillId="35" borderId="147" xfId="1" applyNumberFormat="1" applyFont="1" applyFill="1" applyBorder="1" applyAlignment="1">
      <alignment horizontal="left"/>
    </xf>
    <xf numFmtId="166" fontId="0" fillId="35" borderId="147" xfId="1" applyFont="1" applyFill="1" applyBorder="1"/>
    <xf numFmtId="166" fontId="0" fillId="2" borderId="306" xfId="1" applyFont="1" applyFill="1" applyBorder="1"/>
    <xf numFmtId="0" fontId="0" fillId="35" borderId="97" xfId="1" applyNumberFormat="1" applyFont="1" applyFill="1" applyBorder="1" applyAlignment="1">
      <alignment horizontal="left"/>
    </xf>
    <xf numFmtId="166" fontId="70" fillId="0" borderId="117" xfId="1" applyFont="1" applyBorder="1"/>
    <xf numFmtId="0" fontId="69" fillId="0" borderId="0" xfId="0" applyFont="1" applyBorder="1" applyAlignment="1">
      <alignment horizontal="left"/>
    </xf>
    <xf numFmtId="166" fontId="68" fillId="0" borderId="0" xfId="1" applyNumberFormat="1" applyFont="1" applyFill="1" applyBorder="1" applyAlignment="1">
      <alignment horizontal="right"/>
    </xf>
    <xf numFmtId="166" fontId="10" fillId="2" borderId="147" xfId="1" applyNumberFormat="1" applyFont="1" applyFill="1" applyBorder="1" applyAlignment="1">
      <alignment horizontal="left"/>
    </xf>
    <xf numFmtId="166" fontId="15" fillId="0" borderId="3" xfId="1" applyFont="1" applyBorder="1"/>
    <xf numFmtId="166" fontId="0" fillId="35" borderId="0" xfId="0" applyNumberFormat="1" applyFill="1" applyBorder="1"/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69" fillId="0" borderId="8" xfId="0" applyFont="1" applyBorder="1" applyAlignment="1">
      <alignment horizontal="left"/>
    </xf>
    <xf numFmtId="166" fontId="15" fillId="0" borderId="8" xfId="1" applyFont="1" applyBorder="1"/>
    <xf numFmtId="166" fontId="68" fillId="0" borderId="8" xfId="1" applyNumberFormat="1" applyFont="1" applyFill="1" applyBorder="1" applyAlignment="1">
      <alignment horizontal="right"/>
    </xf>
    <xf numFmtId="166" fontId="0" fillId="0" borderId="147" xfId="1" applyFont="1" applyFill="1" applyBorder="1"/>
    <xf numFmtId="43" fontId="1" fillId="2" borderId="195" xfId="1" applyNumberFormat="1" applyFont="1" applyFill="1" applyBorder="1" applyAlignment="1">
      <alignment horizontal="left"/>
    </xf>
    <xf numFmtId="43" fontId="0" fillId="2" borderId="195" xfId="1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30" fillId="0" borderId="0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3" fillId="0" borderId="272" xfId="0" applyFont="1" applyBorder="1" applyAlignment="1"/>
    <xf numFmtId="0" fontId="0" fillId="0" borderId="0" xfId="0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64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43" fontId="0" fillId="0" borderId="0" xfId="0" applyNumberFormat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3" fontId="0" fillId="0" borderId="0" xfId="0" applyNumberFormat="1" applyFill="1" applyBorder="1" applyAlignment="1"/>
    <xf numFmtId="0" fontId="14" fillId="0" borderId="0" xfId="0" applyFont="1" applyFill="1" applyBorder="1" applyAlignment="1"/>
    <xf numFmtId="0" fontId="30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/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307" xfId="0" applyBorder="1" applyAlignment="1">
      <alignment horizontal="center"/>
    </xf>
    <xf numFmtId="43" fontId="0" fillId="30" borderId="307" xfId="0" applyNumberFormat="1" applyFill="1" applyBorder="1"/>
    <xf numFmtId="43" fontId="0" fillId="30" borderId="235" xfId="0" applyNumberFormat="1" applyFill="1" applyBorder="1"/>
    <xf numFmtId="43" fontId="0" fillId="30" borderId="308" xfId="0" applyNumberFormat="1" applyFill="1" applyBorder="1"/>
    <xf numFmtId="0" fontId="0" fillId="0" borderId="308" xfId="0" applyBorder="1" applyAlignment="1">
      <alignment horizontal="center"/>
    </xf>
    <xf numFmtId="0" fontId="1" fillId="0" borderId="307" xfId="0" applyFont="1" applyBorder="1"/>
    <xf numFmtId="0" fontId="1" fillId="0" borderId="235" xfId="0" applyFont="1" applyBorder="1"/>
    <xf numFmtId="0" fontId="76" fillId="0" borderId="12" xfId="0" applyFont="1" applyBorder="1" applyAlignment="1">
      <alignment horizontal="center" vertical="center" wrapText="1"/>
    </xf>
    <xf numFmtId="0" fontId="76" fillId="0" borderId="13" xfId="0" applyFont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horizontal="center"/>
    </xf>
    <xf numFmtId="0" fontId="43" fillId="0" borderId="56" xfId="0" applyFont="1" applyFill="1" applyBorder="1" applyAlignment="1">
      <alignment horizontal="center"/>
    </xf>
    <xf numFmtId="0" fontId="43" fillId="0" borderId="55" xfId="0" applyFont="1" applyFill="1" applyBorder="1" applyAlignment="1">
      <alignment horizontal="center"/>
    </xf>
    <xf numFmtId="0" fontId="43" fillId="0" borderId="54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287" xfId="0" applyFont="1" applyBorder="1" applyAlignment="1">
      <alignment horizontal="center" vertical="center"/>
    </xf>
    <xf numFmtId="0" fontId="5" fillId="0" borderId="288" xfId="0" applyFont="1" applyBorder="1" applyAlignment="1">
      <alignment horizontal="center" vertical="center"/>
    </xf>
    <xf numFmtId="0" fontId="5" fillId="0" borderId="289" xfId="0" applyFont="1" applyBorder="1" applyAlignment="1">
      <alignment horizontal="center" vertical="center"/>
    </xf>
    <xf numFmtId="0" fontId="8" fillId="0" borderId="71" xfId="0" applyFont="1" applyFill="1" applyBorder="1" applyAlignment="1">
      <alignment horizontal="center" vertical="center"/>
    </xf>
    <xf numFmtId="0" fontId="8" fillId="0" borderId="229" xfId="0" applyFont="1" applyFill="1" applyBorder="1" applyAlignment="1">
      <alignment horizontal="center" vertical="center"/>
    </xf>
    <xf numFmtId="0" fontId="8" fillId="11" borderId="284" xfId="0" applyFont="1" applyFill="1" applyBorder="1" applyAlignment="1">
      <alignment horizontal="center" vertical="center"/>
    </xf>
    <xf numFmtId="0" fontId="8" fillId="11" borderId="275" xfId="0" applyFont="1" applyFill="1" applyBorder="1" applyAlignment="1">
      <alignment horizontal="center" vertical="center"/>
    </xf>
    <xf numFmtId="0" fontId="8" fillId="11" borderId="13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43" fontId="22" fillId="6" borderId="282" xfId="0" applyNumberFormat="1" applyFont="1" applyFill="1" applyBorder="1" applyAlignment="1">
      <alignment horizontal="center"/>
    </xf>
    <xf numFmtId="43" fontId="22" fillId="6" borderId="280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3" xfId="0" applyBorder="1" applyAlignment="1">
      <alignment horizontal="left"/>
    </xf>
    <xf numFmtId="0" fontId="25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11" xfId="0" applyFont="1" applyFill="1" applyBorder="1" applyAlignment="1">
      <alignment horizontal="center"/>
    </xf>
    <xf numFmtId="0" fontId="8" fillId="0" borderId="73" xfId="0" applyFont="1" applyFill="1" applyBorder="1" applyAlignment="1">
      <alignment horizontal="center" vertical="center"/>
    </xf>
    <xf numFmtId="0" fontId="8" fillId="0" borderId="64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8" fillId="0" borderId="284" xfId="0" applyFont="1" applyFill="1" applyBorder="1" applyAlignment="1">
      <alignment horizontal="center" vertical="center"/>
    </xf>
    <xf numFmtId="0" fontId="8" fillId="0" borderId="275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72" fillId="0" borderId="0" xfId="0" applyFont="1" applyAlignment="1">
      <alignment horizontal="center"/>
    </xf>
    <xf numFmtId="0" fontId="5" fillId="0" borderId="129" xfId="0" applyFont="1" applyBorder="1" applyAlignment="1">
      <alignment horizontal="center"/>
    </xf>
    <xf numFmtId="0" fontId="5" fillId="0" borderId="128" xfId="0" applyFont="1" applyBorder="1" applyAlignment="1">
      <alignment horizontal="center"/>
    </xf>
    <xf numFmtId="0" fontId="8" fillId="0" borderId="112" xfId="0" applyFont="1" applyBorder="1" applyAlignment="1">
      <alignment horizontal="center"/>
    </xf>
    <xf numFmtId="0" fontId="8" fillId="0" borderId="113" xfId="0" applyFont="1" applyBorder="1" applyAlignment="1">
      <alignment horizontal="center"/>
    </xf>
    <xf numFmtId="0" fontId="14" fillId="0" borderId="97" xfId="0" applyFont="1" applyBorder="1" applyAlignment="1">
      <alignment horizontal="center"/>
    </xf>
    <xf numFmtId="0" fontId="46" fillId="0" borderId="61" xfId="0" applyFont="1" applyBorder="1" applyAlignment="1">
      <alignment horizontal="center"/>
    </xf>
    <xf numFmtId="0" fontId="46" fillId="0" borderId="53" xfId="0" applyFont="1" applyBorder="1" applyAlignment="1">
      <alignment horizontal="center"/>
    </xf>
    <xf numFmtId="0" fontId="46" fillId="0" borderId="60" xfId="0" applyFont="1" applyBorder="1" applyAlignment="1">
      <alignment horizont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/>
    </xf>
    <xf numFmtId="0" fontId="45" fillId="22" borderId="2" xfId="0" applyFont="1" applyFill="1" applyBorder="1" applyAlignment="1">
      <alignment horizontal="left"/>
    </xf>
    <xf numFmtId="0" fontId="45" fillId="22" borderId="3" xfId="0" applyFont="1" applyFill="1" applyBorder="1" applyAlignment="1">
      <alignment horizontal="left"/>
    </xf>
    <xf numFmtId="0" fontId="45" fillId="22" borderId="4" xfId="0" applyFont="1" applyFill="1" applyBorder="1" applyAlignment="1">
      <alignment horizontal="left"/>
    </xf>
    <xf numFmtId="0" fontId="45" fillId="22" borderId="5" xfId="0" applyFont="1" applyFill="1" applyBorder="1" applyAlignment="1">
      <alignment horizontal="left"/>
    </xf>
    <xf numFmtId="0" fontId="45" fillId="22" borderId="0" xfId="0" applyFont="1" applyFill="1" applyBorder="1" applyAlignment="1">
      <alignment horizontal="left"/>
    </xf>
    <xf numFmtId="0" fontId="45" fillId="22" borderId="6" xfId="0" applyFont="1" applyFill="1" applyBorder="1" applyAlignment="1">
      <alignment horizontal="left"/>
    </xf>
    <xf numFmtId="0" fontId="42" fillId="0" borderId="0" xfId="0" applyFont="1" applyBorder="1" applyAlignment="1">
      <alignment horizontal="center"/>
    </xf>
    <xf numFmtId="0" fontId="30" fillId="0" borderId="112" xfId="0" applyFont="1" applyBorder="1" applyAlignment="1">
      <alignment horizontal="center"/>
    </xf>
    <xf numFmtId="0" fontId="30" fillId="0" borderId="113" xfId="0" applyFont="1" applyBorder="1" applyAlignment="1">
      <alignment horizontal="center"/>
    </xf>
    <xf numFmtId="0" fontId="30" fillId="0" borderId="97" xfId="0" applyFont="1" applyBorder="1" applyAlignment="1">
      <alignment horizontal="center"/>
    </xf>
    <xf numFmtId="0" fontId="5" fillId="0" borderId="9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23" xfId="0" applyFont="1" applyBorder="1" applyAlignment="1">
      <alignment horizontal="center"/>
    </xf>
    <xf numFmtId="0" fontId="5" fillId="0" borderId="130" xfId="0" applyFont="1" applyBorder="1" applyAlignment="1">
      <alignment horizontal="center"/>
    </xf>
    <xf numFmtId="43" fontId="5" fillId="0" borderId="0" xfId="0" applyNumberFormat="1" applyFont="1" applyFill="1" applyBorder="1" applyAlignment="1">
      <alignment horizontal="center"/>
    </xf>
    <xf numFmtId="43" fontId="5" fillId="0" borderId="123" xfId="0" applyNumberFormat="1" applyFont="1" applyFill="1" applyBorder="1" applyAlignment="1">
      <alignment horizontal="center"/>
    </xf>
    <xf numFmtId="0" fontId="28" fillId="0" borderId="114" xfId="0" applyFont="1" applyBorder="1" applyAlignment="1">
      <alignment horizontal="center"/>
    </xf>
    <xf numFmtId="0" fontId="28" fillId="0" borderId="115" xfId="0" applyFont="1" applyBorder="1" applyAlignment="1">
      <alignment horizontal="center"/>
    </xf>
    <xf numFmtId="0" fontId="47" fillId="0" borderId="115" xfId="0" applyFont="1" applyBorder="1" applyAlignment="1">
      <alignment horizontal="center"/>
    </xf>
    <xf numFmtId="0" fontId="47" fillId="0" borderId="116" xfId="0" applyFont="1" applyBorder="1" applyAlignment="1">
      <alignment horizontal="center"/>
    </xf>
    <xf numFmtId="0" fontId="47" fillId="0" borderId="117" xfId="0" applyFont="1" applyBorder="1" applyAlignment="1">
      <alignment horizontal="center"/>
    </xf>
    <xf numFmtId="0" fontId="46" fillId="0" borderId="117" xfId="0" applyFont="1" applyBorder="1" applyAlignment="1">
      <alignment horizontal="center"/>
    </xf>
    <xf numFmtId="0" fontId="45" fillId="22" borderId="5" xfId="0" applyFont="1" applyFill="1" applyBorder="1" applyAlignment="1">
      <alignment horizontal="center"/>
    </xf>
    <xf numFmtId="0" fontId="45" fillId="22" borderId="0" xfId="0" applyFont="1" applyFill="1" applyBorder="1" applyAlignment="1">
      <alignment horizontal="center"/>
    </xf>
    <xf numFmtId="0" fontId="24" fillId="22" borderId="0" xfId="0" applyFont="1" applyFill="1" applyBorder="1" applyAlignment="1">
      <alignment horizontal="center"/>
    </xf>
    <xf numFmtId="0" fontId="5" fillId="0" borderId="55" xfId="0" applyFont="1" applyFill="1" applyBorder="1" applyAlignment="1">
      <alignment horizontal="center"/>
    </xf>
    <xf numFmtId="0" fontId="5" fillId="0" borderId="134" xfId="0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9" fillId="0" borderId="0" xfId="0" applyFont="1" applyBorder="1" applyAlignment="1">
      <alignment horizontal="center"/>
    </xf>
    <xf numFmtId="0" fontId="14" fillId="0" borderId="111" xfId="0" applyFont="1" applyBorder="1" applyAlignment="1">
      <alignment horizontal="center"/>
    </xf>
    <xf numFmtId="0" fontId="14" fillId="0" borderId="112" xfId="0" applyFont="1" applyBorder="1" applyAlignment="1">
      <alignment horizontal="center"/>
    </xf>
    <xf numFmtId="166" fontId="5" fillId="0" borderId="128" xfId="1" applyFont="1" applyBorder="1" applyAlignment="1">
      <alignment horizontal="center"/>
    </xf>
    <xf numFmtId="166" fontId="5" fillId="0" borderId="130" xfId="1" applyFont="1" applyBorder="1" applyAlignment="1">
      <alignment horizontal="center"/>
    </xf>
    <xf numFmtId="0" fontId="5" fillId="0" borderId="111" xfId="0" applyFont="1" applyBorder="1" applyAlignment="1">
      <alignment horizontal="center"/>
    </xf>
    <xf numFmtId="0" fontId="5" fillId="0" borderId="112" xfId="0" applyFont="1" applyBorder="1" applyAlignment="1">
      <alignment horizontal="center"/>
    </xf>
    <xf numFmtId="0" fontId="30" fillId="0" borderId="144" xfId="0" applyFont="1" applyBorder="1" applyAlignment="1">
      <alignment horizontal="center" vertical="center"/>
    </xf>
    <xf numFmtId="0" fontId="30" fillId="0" borderId="143" xfId="0" applyFont="1" applyBorder="1" applyAlignment="1">
      <alignment horizontal="center" vertical="center"/>
    </xf>
    <xf numFmtId="0" fontId="30" fillId="0" borderId="142" xfId="0" applyFont="1" applyBorder="1" applyAlignment="1">
      <alignment horizontal="center" vertical="center"/>
    </xf>
    <xf numFmtId="0" fontId="30" fillId="0" borderId="151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150" xfId="0" applyFont="1" applyBorder="1" applyAlignment="1">
      <alignment horizontal="center" vertical="center"/>
    </xf>
    <xf numFmtId="0" fontId="30" fillId="0" borderId="141" xfId="0" applyFont="1" applyBorder="1" applyAlignment="1">
      <alignment horizontal="center" vertical="center"/>
    </xf>
    <xf numFmtId="0" fontId="30" fillId="0" borderId="140" xfId="0" applyFont="1" applyBorder="1" applyAlignment="1">
      <alignment horizontal="center" vertical="center"/>
    </xf>
    <xf numFmtId="0" fontId="24" fillId="29" borderId="0" xfId="0" applyFont="1" applyFill="1" applyAlignment="1">
      <alignment horizontal="center"/>
    </xf>
    <xf numFmtId="0" fontId="0" fillId="0" borderId="66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Fill="1" applyAlignment="1">
      <alignment horizontal="center"/>
    </xf>
    <xf numFmtId="43" fontId="31" fillId="0" borderId="5" xfId="1" applyNumberFormat="1" applyFont="1" applyBorder="1" applyAlignment="1">
      <alignment horizontal="left"/>
    </xf>
    <xf numFmtId="43" fontId="31" fillId="0" borderId="6" xfId="1" applyNumberFormat="1" applyFont="1" applyBorder="1" applyAlignment="1">
      <alignment horizontal="left"/>
    </xf>
    <xf numFmtId="43" fontId="31" fillId="0" borderId="2" xfId="1" applyNumberFormat="1" applyFont="1" applyBorder="1" applyAlignment="1">
      <alignment horizontal="left"/>
    </xf>
    <xf numFmtId="43" fontId="31" fillId="0" borderId="4" xfId="1" applyNumberFormat="1" applyFont="1" applyBorder="1" applyAlignment="1">
      <alignment horizontal="left"/>
    </xf>
    <xf numFmtId="0" fontId="0" fillId="0" borderId="13" xfId="0" applyBorder="1" applyAlignment="1">
      <alignment horizontal="center"/>
    </xf>
    <xf numFmtId="0" fontId="8" fillId="0" borderId="5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6" fontId="10" fillId="8" borderId="82" xfId="1" applyFont="1" applyFill="1" applyBorder="1" applyAlignment="1">
      <alignment horizontal="center"/>
    </xf>
    <xf numFmtId="166" fontId="10" fillId="8" borderId="81" xfId="1" applyFont="1" applyFill="1" applyBorder="1" applyAlignment="1">
      <alignment horizontal="center"/>
    </xf>
    <xf numFmtId="166" fontId="10" fillId="4" borderId="84" xfId="1" applyFont="1" applyFill="1" applyBorder="1" applyAlignment="1">
      <alignment horizontal="center"/>
    </xf>
    <xf numFmtId="166" fontId="10" fillId="4" borderId="83" xfId="1" applyFont="1" applyFill="1" applyBorder="1" applyAlignment="1">
      <alignment horizontal="center"/>
    </xf>
    <xf numFmtId="0" fontId="31" fillId="0" borderId="6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43" fontId="29" fillId="0" borderId="68" xfId="0" applyNumberFormat="1" applyFont="1" applyBorder="1" applyAlignment="1">
      <alignment horizontal="center"/>
    </xf>
    <xf numFmtId="43" fontId="29" fillId="0" borderId="0" xfId="0" applyNumberFormat="1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28" fillId="0" borderId="5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166" fontId="8" fillId="0" borderId="11" xfId="1" applyFont="1" applyBorder="1" applyAlignment="1">
      <alignment horizontal="center"/>
    </xf>
    <xf numFmtId="166" fontId="8" fillId="0" borderId="5" xfId="1" applyFont="1" applyBorder="1" applyAlignment="1">
      <alignment horizontal="center"/>
    </xf>
    <xf numFmtId="166" fontId="14" fillId="0" borderId="296" xfId="1" applyFont="1" applyBorder="1" applyAlignment="1">
      <alignment horizontal="center"/>
    </xf>
    <xf numFmtId="166" fontId="14" fillId="0" borderId="24" xfId="1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166" fontId="10" fillId="0" borderId="68" xfId="1" applyFont="1" applyBorder="1" applyAlignment="1">
      <alignment horizontal="center"/>
    </xf>
    <xf numFmtId="166" fontId="10" fillId="0" borderId="0" xfId="1" applyFont="1" applyBorder="1" applyAlignment="1">
      <alignment horizontal="center"/>
    </xf>
    <xf numFmtId="43" fontId="2" fillId="0" borderId="0" xfId="0" applyNumberFormat="1" applyFont="1" applyBorder="1" applyAlignment="1">
      <alignment horizontal="center"/>
    </xf>
    <xf numFmtId="0" fontId="0" fillId="0" borderId="0" xfId="0" quotePrefix="1" applyAlignment="1">
      <alignment horizontal="center"/>
    </xf>
    <xf numFmtId="0" fontId="18" fillId="0" borderId="0" xfId="0" applyFont="1" applyBorder="1" applyAlignment="1">
      <alignment horizontal="center"/>
    </xf>
    <xf numFmtId="0" fontId="22" fillId="0" borderId="53" xfId="0" applyFont="1" applyBorder="1" applyAlignment="1">
      <alignment horizontal="center"/>
    </xf>
    <xf numFmtId="0" fontId="43" fillId="0" borderId="272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30" fillId="0" borderId="12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24" fillId="29" borderId="3" xfId="0" applyFont="1" applyFill="1" applyBorder="1" applyAlignment="1">
      <alignment horizontal="center"/>
    </xf>
    <xf numFmtId="0" fontId="74" fillId="0" borderId="2" xfId="0" applyFont="1" applyBorder="1" applyAlignment="1">
      <alignment horizontal="center" vertical="center" wrapText="1"/>
    </xf>
    <xf numFmtId="0" fontId="74" fillId="0" borderId="3" xfId="0" applyFont="1" applyBorder="1" applyAlignment="1">
      <alignment horizontal="center" vertical="center" wrapText="1"/>
    </xf>
    <xf numFmtId="0" fontId="0" fillId="0" borderId="188" xfId="0" applyBorder="1" applyAlignment="1">
      <alignment horizontal="center" vertical="center" wrapText="1"/>
    </xf>
    <xf numFmtId="0" fontId="0" fillId="0" borderId="185" xfId="0" applyBorder="1" applyAlignment="1">
      <alignment horizontal="center" vertical="center" wrapText="1"/>
    </xf>
    <xf numFmtId="166" fontId="24" fillId="29" borderId="0" xfId="0" applyNumberFormat="1" applyFont="1" applyFill="1" applyBorder="1" applyAlignment="1">
      <alignment horizontal="center"/>
    </xf>
    <xf numFmtId="166" fontId="24" fillId="29" borderId="52" xfId="0" applyNumberFormat="1" applyFont="1" applyFill="1" applyBorder="1" applyAlignment="1">
      <alignment horizontal="center"/>
    </xf>
    <xf numFmtId="0" fontId="63" fillId="0" borderId="0" xfId="0" applyFont="1" applyBorder="1" applyAlignment="1">
      <alignment horizontal="center" vertical="center"/>
    </xf>
    <xf numFmtId="0" fontId="3" fillId="0" borderId="180" xfId="0" applyFont="1" applyBorder="1" applyAlignment="1">
      <alignment horizontal="center"/>
    </xf>
    <xf numFmtId="0" fontId="3" fillId="0" borderId="179" xfId="0" applyFont="1" applyBorder="1" applyAlignment="1">
      <alignment horizontal="center"/>
    </xf>
    <xf numFmtId="166" fontId="3" fillId="0" borderId="138" xfId="1" applyFont="1" applyFill="1" applyBorder="1" applyAlignment="1">
      <alignment horizontal="center"/>
    </xf>
    <xf numFmtId="166" fontId="3" fillId="0" borderId="178" xfId="1" applyFont="1" applyFill="1" applyBorder="1" applyAlignment="1">
      <alignment horizontal="center"/>
    </xf>
    <xf numFmtId="0" fontId="0" fillId="0" borderId="187" xfId="0" applyBorder="1" applyAlignment="1">
      <alignment horizontal="center" vertical="center" wrapText="1"/>
    </xf>
    <xf numFmtId="0" fontId="0" fillId="0" borderId="184" xfId="0" applyBorder="1" applyAlignment="1">
      <alignment horizontal="center" vertical="center" wrapText="1"/>
    </xf>
    <xf numFmtId="0" fontId="62" fillId="0" borderId="0" xfId="0" applyFont="1" applyAlignment="1">
      <alignment horizontal="center"/>
    </xf>
    <xf numFmtId="0" fontId="0" fillId="0" borderId="189" xfId="0" applyBorder="1" applyAlignment="1">
      <alignment horizontal="center" vertical="center"/>
    </xf>
    <xf numFmtId="0" fontId="0" fillId="0" borderId="186" xfId="0" applyBorder="1" applyAlignment="1">
      <alignment horizontal="center" vertical="center"/>
    </xf>
    <xf numFmtId="0" fontId="0" fillId="0" borderId="188" xfId="0" applyBorder="1" applyAlignment="1">
      <alignment horizontal="center" vertical="center"/>
    </xf>
    <xf numFmtId="0" fontId="0" fillId="0" borderId="185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47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65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6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2" fillId="0" borderId="294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29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30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09" xfId="0" applyFont="1" applyBorder="1" applyAlignment="1">
      <alignment horizontal="center"/>
    </xf>
    <xf numFmtId="0" fontId="1" fillId="0" borderId="75" xfId="0" applyFont="1" applyBorder="1" applyAlignment="1">
      <alignment horizontal="center"/>
    </xf>
    <xf numFmtId="0" fontId="1" fillId="0" borderId="20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2" xfId="0" applyFill="1" applyBorder="1" applyAlignment="1">
      <alignment horizontal="left"/>
    </xf>
    <xf numFmtId="0" fontId="0" fillId="0" borderId="33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6" xfId="0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60" fillId="0" borderId="0" xfId="0" applyFont="1" applyAlignment="1">
      <alignment horizontal="center"/>
    </xf>
    <xf numFmtId="0" fontId="0" fillId="0" borderId="177" xfId="0" applyBorder="1" applyAlignment="1">
      <alignment horizontal="center"/>
    </xf>
    <xf numFmtId="0" fontId="64" fillId="0" borderId="5" xfId="0" applyFont="1" applyBorder="1" applyAlignment="1">
      <alignment horizontal="left"/>
    </xf>
    <xf numFmtId="0" fontId="64" fillId="0" borderId="0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0" fontId="1" fillId="0" borderId="191" xfId="0" applyFont="1" applyBorder="1" applyAlignment="1">
      <alignment horizontal="righ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52" xfId="0" applyFont="1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20" xfId="0" applyFont="1" applyBorder="1" applyAlignment="1">
      <alignment horizontal="right"/>
    </xf>
    <xf numFmtId="0" fontId="0" fillId="0" borderId="200" xfId="0" applyFont="1" applyBorder="1" applyAlignment="1">
      <alignment horizontal="right"/>
    </xf>
    <xf numFmtId="0" fontId="69" fillId="0" borderId="3" xfId="0" applyFont="1" applyBorder="1" applyAlignment="1">
      <alignment horizontal="left"/>
    </xf>
    <xf numFmtId="0" fontId="69" fillId="0" borderId="195" xfId="0" applyFont="1" applyBorder="1" applyAlignment="1">
      <alignment horizontal="left"/>
    </xf>
    <xf numFmtId="0" fontId="1" fillId="0" borderId="52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0" fillId="0" borderId="8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195" xfId="0" applyBorder="1" applyAlignment="1">
      <alignment horizontal="center"/>
    </xf>
    <xf numFmtId="0" fontId="0" fillId="0" borderId="52" xfId="0" applyBorder="1" applyAlignment="1">
      <alignment horizontal="center"/>
    </xf>
    <xf numFmtId="0" fontId="3" fillId="0" borderId="55" xfId="0" applyFont="1" applyBorder="1" applyAlignment="1">
      <alignment horizontal="left"/>
    </xf>
    <xf numFmtId="0" fontId="0" fillId="0" borderId="0" xfId="0" applyFont="1" applyBorder="1" applyAlignment="1">
      <alignment horizontal="left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5" borderId="10" xfId="0" applyFill="1" applyBorder="1" applyAlignment="1">
      <alignment horizontal="center" vertical="center"/>
    </xf>
    <xf numFmtId="0" fontId="0" fillId="25" borderId="27" xfId="0" applyFill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16" borderId="3" xfId="0" applyFill="1" applyBorder="1" applyAlignment="1">
      <alignment horizontal="center" vertical="center" wrapText="1"/>
    </xf>
    <xf numFmtId="0" fontId="0" fillId="16" borderId="8" xfId="0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0" fillId="18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0" fillId="21" borderId="1" xfId="0" applyNumberForma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9" fontId="0" fillId="20" borderId="1" xfId="0" applyNumberFormat="1" applyFill="1" applyBorder="1" applyAlignment="1">
      <alignment horizontal="center" vertical="center" wrapText="1"/>
    </xf>
    <xf numFmtId="49" fontId="0" fillId="20" borderId="1" xfId="0" applyNumberFormat="1" applyFill="1" applyBorder="1" applyAlignment="1">
      <alignment horizontal="center" vertical="center"/>
    </xf>
    <xf numFmtId="49" fontId="0" fillId="19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21" borderId="12" xfId="0" applyNumberForma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9" fillId="0" borderId="0" xfId="0" applyFont="1" applyBorder="1" applyAlignment="1">
      <alignment horizontal="left"/>
    </xf>
    <xf numFmtId="43" fontId="23" fillId="0" borderId="12" xfId="0" applyNumberFormat="1" applyFont="1" applyBorder="1" applyAlignment="1">
      <alignment horizontal="right"/>
    </xf>
    <xf numFmtId="43" fontId="23" fillId="0" borderId="20" xfId="0" applyNumberFormat="1" applyFont="1" applyBorder="1" applyAlignment="1">
      <alignment horizontal="right"/>
    </xf>
    <xf numFmtId="43" fontId="23" fillId="0" borderId="13" xfId="0" applyNumberFormat="1" applyFont="1" applyBorder="1" applyAlignment="1">
      <alignment horizontal="right"/>
    </xf>
    <xf numFmtId="49" fontId="19" fillId="0" borderId="0" xfId="0" applyNumberFormat="1" applyFont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5" xfId="0" applyBorder="1" applyAlignment="1">
      <alignment horizontal="left"/>
    </xf>
    <xf numFmtId="0" fontId="0" fillId="0" borderId="36" xfId="0" applyBorder="1" applyAlignment="1">
      <alignment horizontal="left"/>
    </xf>
    <xf numFmtId="49" fontId="2" fillId="0" borderId="10" xfId="0" applyNumberFormat="1" applyFont="1" applyBorder="1" applyAlignment="1">
      <alignment vertical="center" textRotation="90"/>
    </xf>
    <xf numFmtId="49" fontId="2" fillId="0" borderId="11" xfId="0" applyNumberFormat="1" applyFont="1" applyBorder="1" applyAlignment="1">
      <alignment vertical="center" textRotation="90"/>
    </xf>
    <xf numFmtId="0" fontId="2" fillId="0" borderId="10" xfId="0" applyFont="1" applyBorder="1" applyAlignment="1">
      <alignment horizontal="center" vertical="center" textRotation="90" readingOrder="1"/>
    </xf>
    <xf numFmtId="0" fontId="2" fillId="0" borderId="11" xfId="0" applyFont="1" applyBorder="1" applyAlignment="1">
      <alignment horizontal="center" vertical="center" textRotation="90" readingOrder="1"/>
    </xf>
    <xf numFmtId="0" fontId="2" fillId="0" borderId="27" xfId="0" applyFont="1" applyBorder="1" applyAlignment="1">
      <alignment horizontal="center" vertical="center" textRotation="90" readingOrder="1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49" fontId="10" fillId="0" borderId="0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1" fillId="0" borderId="38" xfId="0" applyFont="1" applyBorder="1" applyAlignment="1">
      <alignment horizontal="left"/>
    </xf>
    <xf numFmtId="0" fontId="21" fillId="0" borderId="39" xfId="0" applyFont="1" applyBorder="1" applyAlignment="1">
      <alignment horizontal="left"/>
    </xf>
    <xf numFmtId="43" fontId="23" fillId="0" borderId="12" xfId="0" applyNumberFormat="1" applyFont="1" applyBorder="1" applyAlignment="1">
      <alignment horizontal="right" vertical="center"/>
    </xf>
    <xf numFmtId="43" fontId="23" fillId="0" borderId="20" xfId="0" applyNumberFormat="1" applyFont="1" applyBorder="1" applyAlignment="1">
      <alignment horizontal="right" vertical="center"/>
    </xf>
    <xf numFmtId="43" fontId="23" fillId="0" borderId="13" xfId="0" applyNumberFormat="1" applyFont="1" applyBorder="1" applyAlignment="1">
      <alignment horizontal="right" vertical="center"/>
    </xf>
    <xf numFmtId="43" fontId="23" fillId="0" borderId="12" xfId="0" applyNumberFormat="1" applyFont="1" applyBorder="1" applyAlignment="1">
      <alignment horizontal="center"/>
    </xf>
    <xf numFmtId="43" fontId="23" fillId="0" borderId="20" xfId="0" applyNumberFormat="1" applyFont="1" applyBorder="1" applyAlignment="1">
      <alignment horizontal="center"/>
    </xf>
    <xf numFmtId="43" fontId="23" fillId="0" borderId="13" xfId="0" applyNumberFormat="1" applyFont="1" applyBorder="1" applyAlignment="1">
      <alignment horizontal="center"/>
    </xf>
    <xf numFmtId="43" fontId="23" fillId="25" borderId="12" xfId="0" applyNumberFormat="1" applyFont="1" applyFill="1" applyBorder="1" applyAlignment="1">
      <alignment horizontal="right"/>
    </xf>
    <xf numFmtId="43" fontId="23" fillId="25" borderId="20" xfId="0" applyNumberFormat="1" applyFont="1" applyFill="1" applyBorder="1" applyAlignment="1">
      <alignment horizontal="right"/>
    </xf>
    <xf numFmtId="43" fontId="23" fillId="25" borderId="13" xfId="0" applyNumberFormat="1" applyFont="1" applyFill="1" applyBorder="1" applyAlignment="1">
      <alignment horizontal="right"/>
    </xf>
    <xf numFmtId="43" fontId="23" fillId="24" borderId="12" xfId="0" applyNumberFormat="1" applyFont="1" applyFill="1" applyBorder="1" applyAlignment="1">
      <alignment horizontal="center"/>
    </xf>
    <xf numFmtId="43" fontId="23" fillId="24" borderId="20" xfId="0" applyNumberFormat="1" applyFont="1" applyFill="1" applyBorder="1" applyAlignment="1">
      <alignment horizontal="center"/>
    </xf>
    <xf numFmtId="43" fontId="23" fillId="24" borderId="13" xfId="0" applyNumberFormat="1" applyFont="1" applyFill="1" applyBorder="1" applyAlignment="1">
      <alignment horizontal="center"/>
    </xf>
    <xf numFmtId="49" fontId="22" fillId="0" borderId="11" xfId="0" applyNumberFormat="1" applyFont="1" applyBorder="1" applyAlignment="1">
      <alignment horizontal="center" vertical="center" textRotation="90" readingOrder="1"/>
    </xf>
    <xf numFmtId="49" fontId="22" fillId="0" borderId="27" xfId="0" applyNumberFormat="1" applyFont="1" applyBorder="1" applyAlignment="1">
      <alignment horizontal="center" vertical="center" textRotation="90" readingOrder="1"/>
    </xf>
    <xf numFmtId="49" fontId="0" fillId="0" borderId="11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49" fontId="2" fillId="0" borderId="10" xfId="0" applyNumberFormat="1" applyFont="1" applyBorder="1" applyAlignment="1">
      <alignment horizontal="center" vertical="center" textRotation="90" readingOrder="1"/>
    </xf>
    <xf numFmtId="49" fontId="2" fillId="0" borderId="11" xfId="0" applyNumberFormat="1" applyFont="1" applyBorder="1" applyAlignment="1">
      <alignment horizontal="center" vertical="center" textRotation="90" readingOrder="1"/>
    </xf>
    <xf numFmtId="49" fontId="2" fillId="0" borderId="27" xfId="0" applyNumberFormat="1" applyFont="1" applyBorder="1" applyAlignment="1">
      <alignment horizontal="center" vertical="center" textRotation="90" readingOrder="1"/>
    </xf>
    <xf numFmtId="49" fontId="0" fillId="0" borderId="11" xfId="0" applyNumberFormat="1" applyBorder="1" applyAlignment="1">
      <alignment horizontal="center" vertical="center" textRotation="90" readingOrder="1"/>
    </xf>
    <xf numFmtId="49" fontId="0" fillId="0" borderId="27" xfId="0" applyNumberFormat="1" applyBorder="1" applyAlignment="1">
      <alignment horizontal="center" vertical="center" textRotation="90" readingOrder="1"/>
    </xf>
    <xf numFmtId="49" fontId="22" fillId="0" borderId="10" xfId="0" applyNumberFormat="1" applyFont="1" applyBorder="1" applyAlignment="1">
      <alignment horizontal="center" vertical="center" textRotation="90" readingOrder="1"/>
    </xf>
    <xf numFmtId="49" fontId="10" fillId="0" borderId="12" xfId="0" applyNumberFormat="1" applyFont="1" applyBorder="1" applyAlignment="1">
      <alignment horizontal="center"/>
    </xf>
    <xf numFmtId="49" fontId="10" fillId="0" borderId="13" xfId="0" applyNumberFormat="1" applyFont="1" applyBorder="1" applyAlignment="1">
      <alignment horizontal="center"/>
    </xf>
    <xf numFmtId="49" fontId="10" fillId="0" borderId="20" xfId="0" applyNumberFormat="1" applyFont="1" applyBorder="1" applyAlignment="1">
      <alignment horizontal="center"/>
    </xf>
    <xf numFmtId="0" fontId="8" fillId="3" borderId="8" xfId="0" applyFont="1" applyFill="1" applyBorder="1" applyAlignment="1">
      <alignment horizontal="center" vertical="center"/>
    </xf>
    <xf numFmtId="43" fontId="71" fillId="0" borderId="0" xfId="0" applyNumberFormat="1" applyFont="1" applyFill="1" applyBorder="1" applyAlignment="1">
      <alignment horizontal="center"/>
    </xf>
    <xf numFmtId="0" fontId="43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43" fontId="38" fillId="8" borderId="0" xfId="0" applyNumberFormat="1" applyFont="1" applyFill="1" applyBorder="1" applyAlignment="1">
      <alignment horizontal="center"/>
    </xf>
    <xf numFmtId="43" fontId="11" fillId="13" borderId="3" xfId="0" applyNumberFormat="1" applyFont="1" applyFill="1" applyBorder="1" applyAlignment="1">
      <alignment horizontal="center"/>
    </xf>
    <xf numFmtId="43" fontId="71" fillId="0" borderId="20" xfId="0" applyNumberFormat="1" applyFont="1" applyFill="1" applyBorder="1" applyAlignment="1">
      <alignment horizontal="center"/>
    </xf>
    <xf numFmtId="43" fontId="71" fillId="0" borderId="171" xfId="0" applyNumberFormat="1" applyFont="1" applyFill="1" applyBorder="1" applyAlignment="1">
      <alignment horizontal="center"/>
    </xf>
  </cellXfs>
  <cellStyles count="2">
    <cellStyle name="Milliers 2" xfId="1"/>
    <cellStyle name="Normal" xfId="0" builtinId="0"/>
  </cellStyles>
  <dxfs count="0"/>
  <tableStyles count="0" defaultTableStyle="TableStyleMedium9" defaultPivotStyle="PivotStyleLight16"/>
  <colors>
    <mruColors>
      <color rgb="FFFF5050"/>
      <color rgb="FF6699FF"/>
      <color rgb="FF00FFFF"/>
      <color rgb="FF00FF00"/>
      <color rgb="FFFF00FF"/>
      <color rgb="FFFF33CC"/>
      <color rgb="FF000000"/>
      <color rgb="FFCB05BD"/>
      <color rgb="FFB41C9E"/>
      <color rgb="FF12C6D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ORDAN/JORDAN-COMPTA/COMPTA/COMPTA-5TQ/exam-noel14/NOUVEAU-EXAM%20NOEL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DAN/JORDAN-COMPTA/COMPTA/COMPTA-5TQ/MODIF-FICHE/EXAM%20NOEL%202014-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"/>
      <sheetName val="Val-Départ"/>
      <sheetName val="Liv. comp.four-client."/>
      <sheetName val="Gr liv ACT-PAS"/>
      <sheetName val="Bal.client-four"/>
      <sheetName val="PCMN"/>
      <sheetName val="Bal des comptes"/>
      <sheetName val="Jour. Achats-ventes"/>
      <sheetName val="Journ- Finan-central"/>
      <sheetName val="Comp Résultat"/>
      <sheetName val="BILAN AC-PA"/>
      <sheetName val="Feuil1"/>
    </sheetNames>
    <sheetDataSet>
      <sheetData sheetId="0"/>
      <sheetData sheetId="1">
        <row r="26">
          <cell r="B26" t="str">
            <v>F0074</v>
          </cell>
        </row>
        <row r="27">
          <cell r="B27" t="str">
            <v>F0030</v>
          </cell>
        </row>
        <row r="28">
          <cell r="B28" t="str">
            <v>F0012</v>
          </cell>
        </row>
        <row r="30">
          <cell r="B30">
            <v>0</v>
          </cell>
        </row>
        <row r="32">
          <cell r="B3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"/>
      <sheetName val="Val-Départ"/>
      <sheetName val="Liv. comp.four-client."/>
      <sheetName val="Gr liv ACT-PAS"/>
      <sheetName val="Bal.client-four"/>
      <sheetName val="PCMN"/>
      <sheetName val="Jour. Achats-ventes"/>
      <sheetName val="Journ- Finan-central"/>
      <sheetName val="Comp Résultat"/>
      <sheetName val="BILAN AC-PA"/>
      <sheetName val="Feuil1"/>
    </sheetNames>
    <sheetDataSet>
      <sheetData sheetId="0"/>
      <sheetData sheetId="1">
        <row r="29">
          <cell r="O29">
            <v>0</v>
          </cell>
        </row>
      </sheetData>
      <sheetData sheetId="2">
        <row r="12">
          <cell r="M12" t="str">
            <v>F0074</v>
          </cell>
        </row>
        <row r="25">
          <cell r="M25" t="str">
            <v>F0030</v>
          </cell>
        </row>
        <row r="51">
          <cell r="E51" t="str">
            <v>ccc</v>
          </cell>
        </row>
        <row r="59">
          <cell r="E59">
            <v>0</v>
          </cell>
        </row>
        <row r="64">
          <cell r="E64">
            <v>0</v>
          </cell>
        </row>
        <row r="69">
          <cell r="E69">
            <v>0</v>
          </cell>
        </row>
        <row r="74">
          <cell r="E74">
            <v>0</v>
          </cell>
        </row>
      </sheetData>
      <sheetData sheetId="3">
        <row r="3">
          <cell r="M3" t="str">
            <v>Capital</v>
          </cell>
        </row>
        <row r="11">
          <cell r="M11" t="str">
            <v>Emprunt</v>
          </cell>
        </row>
        <row r="58">
          <cell r="C58" t="str">
            <v>client</v>
          </cell>
          <cell r="M58" t="str">
            <v>Fournisseur</v>
          </cell>
        </row>
        <row r="88">
          <cell r="C88" t="str">
            <v>banq poste</v>
          </cell>
        </row>
        <row r="96">
          <cell r="C96" t="str">
            <v>caisse</v>
          </cell>
        </row>
        <row r="113">
          <cell r="C113" t="str">
            <v>Achat march</v>
          </cell>
          <cell r="M113" t="str">
            <v>Vente Mach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BQ264"/>
  <sheetViews>
    <sheetView tabSelected="1" topLeftCell="A4" zoomScaleNormal="100" workbookViewId="0">
      <selection activeCell="F28" sqref="F28"/>
    </sheetView>
  </sheetViews>
  <sheetFormatPr baseColWidth="10" defaultRowHeight="15"/>
  <cols>
    <col min="1" max="1" width="3.42578125" customWidth="1"/>
    <col min="2" max="2" width="7.85546875" customWidth="1"/>
    <col min="3" max="3" width="9.140625" customWidth="1"/>
    <col min="4" max="4" width="11.140625" style="172" customWidth="1"/>
    <col min="5" max="5" width="11.140625" style="1570" customWidth="1"/>
    <col min="6" max="6" width="16.5703125" style="176" customWidth="1"/>
    <col min="7" max="7" width="11.7109375" customWidth="1"/>
    <col min="8" max="8" width="6.42578125" customWidth="1"/>
    <col min="9" max="9" width="11.42578125" customWidth="1"/>
    <col min="10" max="11" width="8.28515625" customWidth="1"/>
    <col min="12" max="12" width="8.28515625" style="439" customWidth="1"/>
    <col min="13" max="13" width="11.85546875" style="541" customWidth="1"/>
    <col min="14" max="14" width="13.140625" customWidth="1"/>
    <col min="15" max="15" width="11.42578125" customWidth="1"/>
    <col min="16" max="16" width="14.28515625" customWidth="1"/>
    <col min="17" max="17" width="11.7109375" customWidth="1"/>
    <col min="18" max="18" width="10.42578125" customWidth="1"/>
    <col min="19" max="19" width="9" customWidth="1"/>
    <col min="20" max="20" width="12.5703125" customWidth="1"/>
    <col min="21" max="21" width="10.7109375" style="172" customWidth="1"/>
    <col min="22" max="22" width="10.42578125" style="172" customWidth="1"/>
    <col min="23" max="23" width="12.42578125" customWidth="1"/>
    <col min="24" max="24" width="13" customWidth="1"/>
    <col min="25" max="25" width="9" customWidth="1"/>
    <col min="27" max="27" width="10.5703125" customWidth="1"/>
    <col min="28" max="28" width="12" customWidth="1"/>
    <col min="29" max="29" width="13.140625" customWidth="1"/>
    <col min="30" max="30" width="12.7109375" customWidth="1"/>
    <col min="31" max="31" width="9.42578125" customWidth="1"/>
    <col min="32" max="32" width="13.42578125" customWidth="1"/>
    <col min="33" max="33" width="11" customWidth="1"/>
    <col min="34" max="34" width="10" customWidth="1"/>
    <col min="35" max="35" width="10.42578125" customWidth="1"/>
    <col min="36" max="36" width="8.7109375" customWidth="1"/>
    <col min="37" max="37" width="10.42578125" customWidth="1"/>
  </cols>
  <sheetData>
    <row r="1" spans="1:52" s="6" customFormat="1" ht="15" customHeight="1">
      <c r="D1" s="24"/>
      <c r="E1" s="24"/>
      <c r="F1" s="27"/>
      <c r="H1" s="141"/>
      <c r="I1" s="1639" t="s">
        <v>208</v>
      </c>
      <c r="J1" s="1640"/>
      <c r="K1" s="1640"/>
      <c r="L1" s="1640"/>
      <c r="M1" s="1640"/>
      <c r="N1" s="1640"/>
      <c r="O1" s="1640"/>
      <c r="P1" s="1640"/>
      <c r="Q1" s="1640"/>
      <c r="R1" s="1640"/>
      <c r="S1" s="1640"/>
      <c r="T1" s="1640"/>
      <c r="U1" s="1640"/>
      <c r="V1" s="1640"/>
      <c r="W1" s="1641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</row>
    <row r="2" spans="1:52" s="6" customFormat="1" ht="13.5" thickBot="1">
      <c r="H2" s="141"/>
      <c r="I2" s="382"/>
      <c r="J2" s="146"/>
      <c r="K2" s="152"/>
      <c r="L2" s="152"/>
      <c r="M2" s="152"/>
      <c r="N2" s="147"/>
      <c r="O2" s="142" t="s">
        <v>7</v>
      </c>
      <c r="P2" s="143"/>
      <c r="Q2" s="143"/>
      <c r="R2" s="144"/>
      <c r="S2" s="145"/>
      <c r="T2" s="146"/>
      <c r="U2" s="147"/>
      <c r="V2" s="148"/>
      <c r="W2" s="142" t="s">
        <v>7</v>
      </c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</row>
    <row r="3" spans="1:52" s="6" customFormat="1" ht="15.75" customHeight="1" thickTop="1" thickBot="1">
      <c r="B3" s="149"/>
      <c r="C3" s="150"/>
      <c r="D3" s="150"/>
      <c r="E3" s="150"/>
      <c r="F3" s="151"/>
      <c r="H3" s="141">
        <v>231</v>
      </c>
      <c r="I3" s="382"/>
      <c r="J3" s="146" t="s">
        <v>209</v>
      </c>
      <c r="K3" s="152"/>
      <c r="L3" s="811"/>
      <c r="M3" s="536"/>
      <c r="N3" s="147"/>
      <c r="O3" s="153">
        <v>3470.51</v>
      </c>
      <c r="P3" s="154"/>
      <c r="Q3" s="154"/>
      <c r="R3" s="144">
        <v>100</v>
      </c>
      <c r="S3" s="145"/>
      <c r="T3" s="146" t="s">
        <v>210</v>
      </c>
      <c r="U3" s="152"/>
      <c r="V3" s="17"/>
      <c r="W3" s="153">
        <v>12394.69</v>
      </c>
      <c r="X3" s="8"/>
      <c r="Y3" s="8"/>
      <c r="Z3" s="8"/>
      <c r="AA3" s="8" t="s">
        <v>1837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</row>
    <row r="4" spans="1:52" s="6" customFormat="1" ht="15.75" customHeight="1" thickTop="1">
      <c r="B4" s="155"/>
      <c r="C4" s="155"/>
      <c r="D4" s="155"/>
      <c r="E4" s="155"/>
      <c r="F4" s="155"/>
      <c r="H4" s="141">
        <v>237</v>
      </c>
      <c r="I4" s="382"/>
      <c r="J4" s="146" t="s">
        <v>31</v>
      </c>
      <c r="K4" s="152"/>
      <c r="L4" s="811"/>
      <c r="M4" s="536"/>
      <c r="N4" s="147"/>
      <c r="O4" s="153"/>
      <c r="P4" s="154"/>
      <c r="Q4" s="154"/>
      <c r="R4" s="145">
        <v>200</v>
      </c>
      <c r="S4" s="145"/>
      <c r="T4" s="146" t="s">
        <v>211</v>
      </c>
      <c r="U4" s="152"/>
      <c r="V4" s="17"/>
      <c r="W4" s="153">
        <v>7436.81</v>
      </c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</row>
    <row r="5" spans="1:52" s="6" customFormat="1" ht="16.5">
      <c r="D5" s="8"/>
      <c r="E5" s="8"/>
      <c r="H5" s="17">
        <v>231</v>
      </c>
      <c r="I5" s="385"/>
      <c r="J5" s="146" t="s">
        <v>212</v>
      </c>
      <c r="K5" s="152"/>
      <c r="L5" s="811"/>
      <c r="M5" s="536"/>
      <c r="N5" s="147"/>
      <c r="P5" s="154"/>
      <c r="Q5" s="154"/>
      <c r="R5" s="145">
        <v>240</v>
      </c>
      <c r="S5" s="145"/>
      <c r="T5" s="146" t="s">
        <v>213</v>
      </c>
      <c r="U5" s="147"/>
      <c r="V5" s="17"/>
      <c r="W5" s="153">
        <v>1983.15</v>
      </c>
      <c r="X5" s="8"/>
      <c r="Y5" s="1660" t="s">
        <v>1810</v>
      </c>
      <c r="Z5" s="1660"/>
      <c r="AA5" s="1660"/>
      <c r="AB5" s="1660"/>
      <c r="AC5" s="1660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</row>
    <row r="6" spans="1:52" s="6" customFormat="1" ht="12.75">
      <c r="H6" s="141">
        <v>360</v>
      </c>
      <c r="I6" s="382"/>
      <c r="J6" s="146" t="s">
        <v>214</v>
      </c>
      <c r="K6" s="152"/>
      <c r="L6" s="811"/>
      <c r="M6" s="536"/>
      <c r="N6" s="147"/>
      <c r="O6" s="153">
        <v>1239.47</v>
      </c>
      <c r="P6" s="154"/>
      <c r="Q6" s="154"/>
      <c r="R6" s="145">
        <v>440</v>
      </c>
      <c r="S6" s="145"/>
      <c r="T6" s="146" t="s">
        <v>215</v>
      </c>
      <c r="U6" s="147"/>
      <c r="V6" s="17"/>
      <c r="W6" s="156">
        <v>2974.72</v>
      </c>
      <c r="X6" s="8"/>
      <c r="Y6" s="8"/>
      <c r="Z6" s="8"/>
      <c r="AA6" s="8"/>
      <c r="AB6" s="8">
        <v>7557.78</v>
      </c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</row>
    <row r="7" spans="1:52" s="6" customFormat="1" ht="12.75">
      <c r="D7" s="24"/>
      <c r="E7" s="24"/>
      <c r="F7" s="27"/>
      <c r="H7" s="141">
        <v>400</v>
      </c>
      <c r="I7" s="382"/>
      <c r="J7" s="146" t="s">
        <v>216</v>
      </c>
      <c r="K7" s="152"/>
      <c r="L7" s="811"/>
      <c r="M7" s="536"/>
      <c r="N7" s="147"/>
      <c r="O7" s="22">
        <v>3966.3</v>
      </c>
      <c r="P7" s="1458"/>
      <c r="Q7" s="154"/>
      <c r="R7" s="145">
        <v>550</v>
      </c>
      <c r="S7" s="145"/>
      <c r="T7" s="146" t="s">
        <v>217</v>
      </c>
      <c r="U7" s="147"/>
      <c r="V7" s="17"/>
      <c r="W7" s="153">
        <v>4338.1400000000003</v>
      </c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</row>
    <row r="8" spans="1:52" s="6" customFormat="1" ht="13.5" thickBot="1">
      <c r="A8" s="5"/>
      <c r="C8" s="7"/>
      <c r="D8" s="7"/>
      <c r="E8" s="7"/>
      <c r="F8" s="7"/>
      <c r="H8" s="157">
        <v>560</v>
      </c>
      <c r="I8" s="392"/>
      <c r="J8" s="158" t="s">
        <v>218</v>
      </c>
      <c r="K8" s="159"/>
      <c r="L8" s="812"/>
      <c r="M8" s="544"/>
      <c r="N8" s="160"/>
      <c r="O8" s="161">
        <v>6197.34</v>
      </c>
      <c r="P8" s="154"/>
      <c r="Q8" s="154"/>
      <c r="R8" s="145">
        <v>570</v>
      </c>
      <c r="S8" s="145"/>
      <c r="T8" s="158" t="s">
        <v>219</v>
      </c>
      <c r="U8" s="160"/>
      <c r="V8" s="162"/>
      <c r="W8" s="153">
        <v>1611.31</v>
      </c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</row>
    <row r="9" spans="1:52" s="6" customFormat="1" ht="20.25" thickTop="1" thickBot="1">
      <c r="A9" s="1644" t="s">
        <v>0</v>
      </c>
      <c r="B9" s="1645"/>
      <c r="C9" s="1645"/>
      <c r="D9" s="1646"/>
      <c r="E9" s="1571"/>
      <c r="F9" s="9"/>
      <c r="G9" s="1644" t="s">
        <v>220</v>
      </c>
      <c r="H9" s="1645"/>
      <c r="I9" s="1645"/>
      <c r="J9" s="1645"/>
      <c r="K9" s="1645"/>
      <c r="L9" s="1645"/>
      <c r="M9" s="1645"/>
      <c r="N9" s="1645"/>
      <c r="O9" s="1651" t="s">
        <v>221</v>
      </c>
      <c r="P9" s="1652"/>
      <c r="Q9" s="1653"/>
      <c r="R9" s="1647" t="s">
        <v>1</v>
      </c>
      <c r="S9" s="1648"/>
      <c r="T9" s="1649" t="s">
        <v>222</v>
      </c>
      <c r="U9" s="1649"/>
      <c r="V9" s="1649"/>
      <c r="W9" s="1650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</row>
    <row r="10" spans="1:52" s="1428" customFormat="1" ht="16.5" thickTop="1" thickBot="1">
      <c r="A10" s="1441"/>
      <c r="B10" s="1442">
        <v>1</v>
      </c>
      <c r="C10" s="1442">
        <v>2</v>
      </c>
      <c r="D10" s="1443">
        <v>3</v>
      </c>
      <c r="E10" s="1444"/>
      <c r="F10" s="1439" t="s">
        <v>224</v>
      </c>
      <c r="G10" s="1442">
        <v>5</v>
      </c>
      <c r="H10" s="1442">
        <v>6</v>
      </c>
      <c r="I10" s="1442">
        <v>7</v>
      </c>
      <c r="J10" s="1442">
        <v>8</v>
      </c>
      <c r="K10" s="1442">
        <v>9</v>
      </c>
      <c r="L10" s="1442">
        <v>10</v>
      </c>
      <c r="M10" s="1442">
        <v>11</v>
      </c>
      <c r="N10" s="1442">
        <v>12</v>
      </c>
      <c r="O10" s="1440">
        <v>13</v>
      </c>
      <c r="P10" s="1440">
        <v>14</v>
      </c>
      <c r="Q10" s="1440">
        <v>15</v>
      </c>
      <c r="R10" s="1440">
        <v>16</v>
      </c>
      <c r="S10" s="1440">
        <v>17</v>
      </c>
      <c r="T10" s="1440">
        <v>18</v>
      </c>
      <c r="U10" s="1440">
        <v>19</v>
      </c>
      <c r="V10" s="1444">
        <v>20</v>
      </c>
      <c r="W10" s="1444">
        <v>21</v>
      </c>
      <c r="X10" s="1444">
        <v>22</v>
      </c>
      <c r="Y10" s="1444">
        <v>23</v>
      </c>
      <c r="Z10" s="1439">
        <v>24</v>
      </c>
      <c r="AA10" s="1439">
        <v>25</v>
      </c>
      <c r="AB10" s="1439">
        <v>26</v>
      </c>
      <c r="AC10" s="1439">
        <v>27</v>
      </c>
      <c r="AD10" s="1439">
        <v>28</v>
      </c>
      <c r="AI10" s="1439"/>
      <c r="AJ10" s="1439"/>
      <c r="AK10" s="1439"/>
      <c r="AL10" s="1439"/>
      <c r="AM10" s="1439"/>
      <c r="AN10" s="1439"/>
      <c r="AO10" s="1439"/>
      <c r="AP10" s="1439"/>
      <c r="AQ10" s="1439"/>
      <c r="AR10" s="1439"/>
      <c r="AS10" s="1439"/>
      <c r="AT10" s="1439"/>
      <c r="AU10" s="1439"/>
    </row>
    <row r="11" spans="1:52" s="11" customFormat="1" ht="14.1" customHeight="1" thickTop="1" thickBot="1">
      <c r="A11" s="1654">
        <v>600</v>
      </c>
      <c r="B11" s="1655"/>
      <c r="C11" s="1654" t="s">
        <v>2</v>
      </c>
      <c r="D11" s="1655"/>
      <c r="E11" s="1939"/>
      <c r="F11" s="10"/>
      <c r="G11" s="1656" t="s">
        <v>3</v>
      </c>
      <c r="H11" s="1657"/>
      <c r="I11" s="1657"/>
      <c r="J11" s="1657"/>
      <c r="K11" s="1657"/>
      <c r="L11" s="1657"/>
      <c r="M11" s="1657"/>
      <c r="N11" s="1657"/>
      <c r="O11" s="163"/>
      <c r="P11" s="1658">
        <v>4110</v>
      </c>
      <c r="Q11" s="1659"/>
      <c r="R11" s="1260">
        <v>4114</v>
      </c>
      <c r="T11" s="531" t="s">
        <v>12</v>
      </c>
      <c r="U11" s="1259">
        <v>4110</v>
      </c>
      <c r="V11" s="1260" t="s">
        <v>12</v>
      </c>
      <c r="X11" s="742" t="s">
        <v>1</v>
      </c>
      <c r="Y11" s="1642" t="s">
        <v>1807</v>
      </c>
      <c r="Z11" s="1643"/>
      <c r="AA11" s="1643"/>
      <c r="AB11" s="1643"/>
      <c r="AC11" s="1643"/>
      <c r="AD11" s="1396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</row>
    <row r="12" spans="1:52" ht="14.1" customHeight="1" thickTop="1" thickBot="1">
      <c r="A12" s="13" t="s">
        <v>4</v>
      </c>
      <c r="B12" s="14" t="s">
        <v>5</v>
      </c>
      <c r="C12" s="14" t="s">
        <v>6</v>
      </c>
      <c r="D12" s="15" t="s">
        <v>7</v>
      </c>
      <c r="E12" s="15" t="s">
        <v>1885</v>
      </c>
      <c r="F12" s="16" t="s">
        <v>8</v>
      </c>
      <c r="G12" s="14" t="s">
        <v>223</v>
      </c>
      <c r="H12" s="14" t="s">
        <v>10</v>
      </c>
      <c r="I12" s="17" t="s">
        <v>11</v>
      </c>
      <c r="J12" s="390" t="s">
        <v>329</v>
      </c>
      <c r="K12" s="399" t="s">
        <v>406</v>
      </c>
      <c r="L12" s="813" t="s">
        <v>330</v>
      </c>
      <c r="M12" s="390" t="s">
        <v>331</v>
      </c>
      <c r="N12" s="399" t="s">
        <v>410</v>
      </c>
      <c r="O12" s="18" t="s">
        <v>326</v>
      </c>
      <c r="P12" s="772" t="s">
        <v>483</v>
      </c>
      <c r="Q12" s="529" t="s">
        <v>482</v>
      </c>
      <c r="R12" s="773" t="s">
        <v>363</v>
      </c>
      <c r="S12" s="1256" t="s">
        <v>1805</v>
      </c>
      <c r="T12" s="539" t="s">
        <v>408</v>
      </c>
      <c r="U12" s="736" t="s">
        <v>1800</v>
      </c>
      <c r="V12" s="572" t="s">
        <v>13</v>
      </c>
      <c r="W12" s="532" t="s">
        <v>12</v>
      </c>
      <c r="X12" s="1392"/>
      <c r="Y12" s="1397" t="s">
        <v>5</v>
      </c>
      <c r="Z12" s="19" t="s">
        <v>14</v>
      </c>
      <c r="AA12" s="14" t="s">
        <v>15</v>
      </c>
      <c r="AB12" s="399" t="s">
        <v>9</v>
      </c>
      <c r="AC12" s="605" t="s">
        <v>8</v>
      </c>
      <c r="AD12" s="1465" t="s">
        <v>16</v>
      </c>
      <c r="AE12" s="8"/>
      <c r="AF12" s="8"/>
      <c r="AG12" s="8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</row>
    <row r="13" spans="1:52" ht="14.1" customHeight="1" thickTop="1" thickBot="1">
      <c r="A13" s="613">
        <v>1</v>
      </c>
      <c r="B13" s="615" t="s">
        <v>1849</v>
      </c>
      <c r="C13" s="616" t="s">
        <v>1850</v>
      </c>
      <c r="D13" s="1263">
        <v>1066.1500000000001</v>
      </c>
      <c r="E13" s="1940"/>
      <c r="F13" s="956" t="s">
        <v>1777</v>
      </c>
      <c r="G13" s="618" t="s">
        <v>333</v>
      </c>
      <c r="H13" s="620" t="s">
        <v>1855</v>
      </c>
      <c r="I13" s="621">
        <v>1239.47</v>
      </c>
      <c r="J13" s="621">
        <v>0</v>
      </c>
      <c r="K13" s="621">
        <v>0</v>
      </c>
      <c r="L13" s="814">
        <v>0</v>
      </c>
      <c r="M13" s="622">
        <v>0</v>
      </c>
      <c r="N13" s="619">
        <f>SUM(I13,-J13,K13,-L13,M13)</f>
        <v>1239.47</v>
      </c>
      <c r="O13" s="791">
        <v>0.21</v>
      </c>
      <c r="P13" s="1449">
        <f>IF(OR('Val-Départ'!G13="note de crédit",  'Val-Départ'!G13="Marchandise"), "0",PRODUCT(N13,O13))</f>
        <v>260.28870000000001</v>
      </c>
      <c r="Q13" s="1445" t="str">
        <f>IF(('Val-Départ'!G13="Marchandise"),  PRODUCT(N13,O13),"0")</f>
        <v>0</v>
      </c>
      <c r="R13" s="1453" t="str">
        <f>IF(('Val-Départ'!G13="note de crédit"),PRODUCT(N13,O13),"")</f>
        <v/>
      </c>
      <c r="S13" s="794"/>
      <c r="T13" s="604">
        <f>IF(('Val-Départ'!G13&lt;&gt;"note de crédit"),SUM(N13,P13,Q13,R13,-J13),"")</f>
        <v>1499.7587000000001</v>
      </c>
      <c r="U13" s="1469">
        <f>SUM(P13:Q13)</f>
        <v>260.28870000000001</v>
      </c>
      <c r="V13" s="588" t="str">
        <f>IF(('Val-Départ'!G13="note de crédit"),(N13+R13),"")</f>
        <v/>
      </c>
      <c r="W13" s="604">
        <f t="shared" ref="W13:W18" si="0">T13</f>
        <v>1499.7587000000001</v>
      </c>
      <c r="X13" s="1393">
        <f t="shared" ref="X13:X15" si="1">IF(AD13=ROUND(D13,2),AD13,IF(AD13=ROUND(D13+T13,2),AD13,IF(AD13= ROUND(T13,2),AD13,IF(AD13="",AD13,""))))</f>
        <v>2565.91</v>
      </c>
      <c r="Y13" s="1398" t="str">
        <f>B13</f>
        <v>C0001</v>
      </c>
      <c r="Z13" s="1471" t="str">
        <f t="shared" ref="Z13:Z23" si="2">C13</f>
        <v>Nicolas</v>
      </c>
      <c r="AA13" s="608">
        <v>42033</v>
      </c>
      <c r="AB13" s="609">
        <v>42328</v>
      </c>
      <c r="AC13" s="603">
        <v>550</v>
      </c>
      <c r="AD13" s="1399">
        <v>2565.91</v>
      </c>
      <c r="AE13" s="8"/>
      <c r="AF13" s="8"/>
      <c r="AG13" s="8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</row>
    <row r="14" spans="1:52" ht="14.1" customHeight="1" thickTop="1" thickBot="1">
      <c r="A14" s="613">
        <v>2</v>
      </c>
      <c r="B14" s="615" t="s">
        <v>1851</v>
      </c>
      <c r="C14" s="606" t="s">
        <v>1852</v>
      </c>
      <c r="D14" s="1264">
        <v>758.12</v>
      </c>
      <c r="E14" s="1940"/>
      <c r="F14" s="956" t="s">
        <v>1479</v>
      </c>
      <c r="G14" s="618" t="s">
        <v>27</v>
      </c>
      <c r="H14" s="623" t="s">
        <v>1856</v>
      </c>
      <c r="I14" s="607">
        <v>921.92</v>
      </c>
      <c r="J14" s="607"/>
      <c r="K14" s="607"/>
      <c r="L14" s="815"/>
      <c r="M14" s="624"/>
      <c r="N14" s="619">
        <f t="shared" ref="N14:N25" si="3">SUM(I14,-J14,K14,-L14,M14)</f>
        <v>921.92</v>
      </c>
      <c r="O14" s="791">
        <v>0.21</v>
      </c>
      <c r="P14" s="1450" t="str">
        <f>IF(OR('Val-Départ'!G14="note de crédit",  'Val-Départ'!G14="Marchandise"), "0",PRODUCT(N14,O14))</f>
        <v>0</v>
      </c>
      <c r="Q14" s="1446">
        <f>IF(('Val-Départ'!G14="Marchandise"),  PRODUCT(N14,O14),"0")</f>
        <v>193.60319999999999</v>
      </c>
      <c r="R14" s="1454" t="str">
        <f>IF(('Val-Départ'!G14="note de crédit"),PRODUCT(N14,O14),"0")</f>
        <v>0</v>
      </c>
      <c r="S14" s="794"/>
      <c r="T14" s="604">
        <f>IF(('Val-Départ'!G14&lt;&gt;"note de crédit"),SUM(N14,P14,Q14,R14,-J14),"")</f>
        <v>1115.5231999999999</v>
      </c>
      <c r="U14" s="1469">
        <f t="shared" ref="U14:U25" si="4">SUM(P14:Q14)</f>
        <v>193.60319999999999</v>
      </c>
      <c r="V14" s="588" t="str">
        <f>IF(('Val-Départ'!G14="note de crédit"),(N14+R14),"")</f>
        <v/>
      </c>
      <c r="W14" s="604">
        <f t="shared" si="0"/>
        <v>1115.5231999999999</v>
      </c>
      <c r="X14" s="1393">
        <f t="shared" si="1"/>
        <v>1115.52</v>
      </c>
      <c r="Y14" s="1398" t="str">
        <f t="shared" ref="Y14:Y26" si="5">B14</f>
        <v>C0002</v>
      </c>
      <c r="Z14" s="1471" t="str">
        <f t="shared" si="2"/>
        <v>Vienneau</v>
      </c>
      <c r="AA14" s="610">
        <v>42032</v>
      </c>
      <c r="AB14" s="602">
        <v>42325</v>
      </c>
      <c r="AC14" s="603">
        <v>550</v>
      </c>
      <c r="AD14" s="1399">
        <v>1115.52</v>
      </c>
      <c r="AE14" s="8"/>
      <c r="AF14" s="8"/>
      <c r="AG14" s="8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</row>
    <row r="15" spans="1:52" ht="14.1" customHeight="1" thickBot="1">
      <c r="A15" s="613">
        <v>3</v>
      </c>
      <c r="B15" s="617" t="s">
        <v>1853</v>
      </c>
      <c r="C15" s="606" t="s">
        <v>1854</v>
      </c>
      <c r="D15" s="1264">
        <v>2142.0300000000002</v>
      </c>
      <c r="E15" s="1940"/>
      <c r="F15" s="956" t="s">
        <v>1770</v>
      </c>
      <c r="G15" s="618">
        <v>0</v>
      </c>
      <c r="H15" s="623"/>
      <c r="I15" s="607"/>
      <c r="J15" s="607"/>
      <c r="K15" s="607"/>
      <c r="L15" s="815"/>
      <c r="M15" s="624"/>
      <c r="N15" s="619">
        <f t="shared" si="3"/>
        <v>0</v>
      </c>
      <c r="O15" s="791">
        <v>0.21</v>
      </c>
      <c r="P15" s="1450">
        <f>IF(OR('Val-Départ'!G15="note de crédit",  'Val-Départ'!G15="Marchandise"), "0",PRODUCT(N15,O15))</f>
        <v>0</v>
      </c>
      <c r="Q15" s="1446" t="str">
        <f>IF(('Val-Départ'!G15="Marchandise"),  PRODUCT(N15,O15),"0")</f>
        <v>0</v>
      </c>
      <c r="R15" s="1454" t="str">
        <f>IF(('Val-Départ'!G15="note de crédit"),PRODUCT(N15,O15),"0")</f>
        <v>0</v>
      </c>
      <c r="S15" s="794"/>
      <c r="T15" s="604">
        <f>IF(('Val-Départ'!G15&lt;&gt;"note de crédit"),SUM(N15,P15,Q15,R15,-J15),"")</f>
        <v>0</v>
      </c>
      <c r="U15" s="1469">
        <f t="shared" si="4"/>
        <v>0</v>
      </c>
      <c r="V15" s="588" t="str">
        <f>IF(('Val-Départ'!G15="note de crédit"),(N15+R15),"")</f>
        <v/>
      </c>
      <c r="W15" s="604">
        <f t="shared" si="0"/>
        <v>0</v>
      </c>
      <c r="X15" s="1393">
        <f t="shared" si="1"/>
        <v>0</v>
      </c>
      <c r="Y15" s="1398" t="str">
        <f t="shared" si="5"/>
        <v>C0003</v>
      </c>
      <c r="Z15" s="1471" t="str">
        <f t="shared" si="2"/>
        <v>Jacques</v>
      </c>
      <c r="AA15" s="610"/>
      <c r="AB15" s="602"/>
      <c r="AC15" s="603">
        <v>550</v>
      </c>
      <c r="AD15" s="1400"/>
      <c r="AE15" s="5"/>
      <c r="AF15" s="5"/>
      <c r="AG15" s="5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</row>
    <row r="16" spans="1:52" s="1276" customFormat="1" ht="14.1" customHeight="1" thickBot="1">
      <c r="A16" s="1265">
        <v>4</v>
      </c>
      <c r="B16" s="1266"/>
      <c r="C16" s="1267"/>
      <c r="D16" s="1264"/>
      <c r="E16" s="1940"/>
      <c r="F16" s="956" t="s">
        <v>1770</v>
      </c>
      <c r="G16" s="1268">
        <v>0</v>
      </c>
      <c r="H16" s="1269"/>
      <c r="I16" s="607"/>
      <c r="J16" s="1267"/>
      <c r="K16" s="1267"/>
      <c r="L16" s="1270"/>
      <c r="M16" s="1271"/>
      <c r="N16" s="619">
        <f t="shared" si="3"/>
        <v>0</v>
      </c>
      <c r="O16" s="791">
        <v>0</v>
      </c>
      <c r="P16" s="1450">
        <f>IF(OR('Val-Départ'!G16="note de crédit",  'Val-Départ'!G16="Marchandise"), "0",PRODUCT(N16,O16))</f>
        <v>0</v>
      </c>
      <c r="Q16" s="603" t="str">
        <f>IF(('Val-Départ'!G16="Marchandise"),  PRODUCT(N16,O16),"0")</f>
        <v>0</v>
      </c>
      <c r="R16" s="1455" t="str">
        <f>IF(('Val-Départ'!G16="note de crédit"),PRODUCT(N16,O16),"0")</f>
        <v>0</v>
      </c>
      <c r="S16" s="1269"/>
      <c r="T16" s="604">
        <f>IF(('Val-Départ'!G16&lt;&gt;"note de crédit"),SUM(N16,P16,Q16,R16,-J16),"")</f>
        <v>0</v>
      </c>
      <c r="U16" s="1469">
        <f t="shared" si="4"/>
        <v>0</v>
      </c>
      <c r="V16" s="588" t="str">
        <f>IF(('Val-Départ'!G16="note de crédit"),(N16+R16),"")</f>
        <v/>
      </c>
      <c r="W16" s="604">
        <f t="shared" si="0"/>
        <v>0</v>
      </c>
      <c r="X16" s="1393">
        <f t="shared" ref="X16:X25" si="6">IF(AD16=D16,AD16,IF(AD16=ROUND(D16+T16,2),AD16,IF(AD16=T16,AD16,IF(AD16="",AD16,""))))</f>
        <v>0</v>
      </c>
      <c r="Y16" s="1272">
        <f t="shared" si="5"/>
        <v>0</v>
      </c>
      <c r="Z16" s="1472">
        <f t="shared" si="2"/>
        <v>0</v>
      </c>
      <c r="AA16" s="1273"/>
      <c r="AB16" s="602"/>
      <c r="AC16" s="603">
        <v>550</v>
      </c>
      <c r="AD16" s="1400"/>
      <c r="AE16" s="1274"/>
      <c r="AF16" s="1274"/>
      <c r="AG16" s="1274"/>
      <c r="AH16" s="1275"/>
      <c r="AI16" s="1275"/>
      <c r="AJ16" s="1275"/>
      <c r="AK16" s="1275"/>
      <c r="AL16" s="1275"/>
      <c r="AM16" s="1275"/>
      <c r="AN16" s="1275"/>
      <c r="AO16" s="1275"/>
      <c r="AP16" s="1275"/>
      <c r="AQ16" s="1275"/>
      <c r="AR16" s="1275"/>
      <c r="AS16" s="1275"/>
      <c r="AT16" s="1275"/>
      <c r="AU16" s="1275"/>
      <c r="AV16" s="1275"/>
      <c r="AW16" s="1275"/>
      <c r="AX16" s="1275"/>
      <c r="AY16" s="1275"/>
      <c r="AZ16" s="1275"/>
    </row>
    <row r="17" spans="1:52" s="4" customFormat="1" ht="14.1" customHeight="1" thickBot="1">
      <c r="A17" s="613">
        <v>5</v>
      </c>
      <c r="B17" s="1266"/>
      <c r="C17" s="1267"/>
      <c r="D17" s="1264"/>
      <c r="E17" s="1940"/>
      <c r="F17" s="956" t="s">
        <v>1770</v>
      </c>
      <c r="G17" s="618" t="s">
        <v>27</v>
      </c>
      <c r="H17" s="623"/>
      <c r="I17" s="607"/>
      <c r="J17" s="607"/>
      <c r="K17" s="607"/>
      <c r="L17" s="815"/>
      <c r="M17" s="624"/>
      <c r="N17" s="619">
        <f t="shared" si="3"/>
        <v>0</v>
      </c>
      <c r="O17" s="791">
        <v>0</v>
      </c>
      <c r="P17" s="1450" t="str">
        <f>IF(OR('Val-Départ'!G17="note de crédit",  'Val-Départ'!G17="Marchandise"), "0",PRODUCT(N17,O17))</f>
        <v>0</v>
      </c>
      <c r="Q17" s="1446">
        <f>IF(('Val-Départ'!G17="Marchandise"),  PRODUCT(N17,O17),"0")</f>
        <v>0</v>
      </c>
      <c r="R17" s="1454" t="str">
        <f>IF(('Val-Départ'!G17="note de crédit"),PRODUCT(N17,O17),"0")</f>
        <v>0</v>
      </c>
      <c r="S17" s="794"/>
      <c r="T17" s="604">
        <f>IF(('Val-Départ'!G17&lt;&gt;"note de crédit"),SUM(N17,P17,Q17,R17,-J17),"")</f>
        <v>0</v>
      </c>
      <c r="U17" s="1469">
        <f t="shared" si="4"/>
        <v>0</v>
      </c>
      <c r="V17" s="588" t="str">
        <f>IF(('Val-Départ'!G17="note de crédit"),(N17+R17),"")</f>
        <v/>
      </c>
      <c r="W17" s="604">
        <f t="shared" si="0"/>
        <v>0</v>
      </c>
      <c r="X17" s="1393">
        <f t="shared" si="6"/>
        <v>0</v>
      </c>
      <c r="Y17" s="1398">
        <f t="shared" si="5"/>
        <v>0</v>
      </c>
      <c r="Z17" s="1471">
        <f t="shared" si="2"/>
        <v>0</v>
      </c>
      <c r="AA17" s="610"/>
      <c r="AB17" s="611"/>
      <c r="AC17" s="603">
        <v>550</v>
      </c>
      <c r="AD17" s="1400"/>
      <c r="AE17" s="8"/>
      <c r="AF17" s="8"/>
      <c r="AG17" s="8"/>
    </row>
    <row r="18" spans="1:52" ht="14.1" customHeight="1" thickBot="1">
      <c r="A18" s="613">
        <v>6</v>
      </c>
      <c r="B18" s="617"/>
      <c r="C18" s="606"/>
      <c r="D18" s="1264"/>
      <c r="E18" s="1940"/>
      <c r="F18" s="956" t="s">
        <v>1770</v>
      </c>
      <c r="G18" s="618">
        <v>0</v>
      </c>
      <c r="H18" s="623"/>
      <c r="I18" s="607"/>
      <c r="J18" s="607"/>
      <c r="K18" s="607"/>
      <c r="L18" s="815"/>
      <c r="M18" s="624"/>
      <c r="N18" s="619">
        <f t="shared" si="3"/>
        <v>0</v>
      </c>
      <c r="O18" s="791">
        <v>0</v>
      </c>
      <c r="P18" s="1450">
        <f>IF(OR('Val-Départ'!G18="note de crédit",  'Val-Départ'!G18="Marchandise"), "0",PRODUCT(N18,O18))</f>
        <v>0</v>
      </c>
      <c r="Q18" s="1446" t="str">
        <f>IF(('Val-Départ'!G18="Marchandise"),  PRODUCT(N18,O18),"0")</f>
        <v>0</v>
      </c>
      <c r="R18" s="1454" t="str">
        <f>IF(('Val-Départ'!G18="note de crédit"),PRODUCT(N18,O18),"0")</f>
        <v>0</v>
      </c>
      <c r="S18" s="794"/>
      <c r="T18" s="604">
        <f>IF(('Val-Départ'!G18&lt;&gt;"note de crédit"),SUM(N18,P18,Q18,R18,-J18),"")</f>
        <v>0</v>
      </c>
      <c r="U18" s="1469">
        <f t="shared" si="4"/>
        <v>0</v>
      </c>
      <c r="V18" s="588" t="str">
        <f>IF(('Val-Départ'!G18="note de crédit"),(N18+R18),"")</f>
        <v/>
      </c>
      <c r="W18" s="604">
        <f t="shared" si="0"/>
        <v>0</v>
      </c>
      <c r="X18" s="1393">
        <f t="shared" si="6"/>
        <v>0</v>
      </c>
      <c r="Y18" s="1398">
        <f t="shared" si="5"/>
        <v>0</v>
      </c>
      <c r="Z18" s="1471">
        <f t="shared" si="2"/>
        <v>0</v>
      </c>
      <c r="AA18" s="610"/>
      <c r="AB18" s="602"/>
      <c r="AC18" s="603">
        <v>550</v>
      </c>
      <c r="AD18" s="1400"/>
      <c r="AE18" s="8"/>
      <c r="AF18" s="8"/>
      <c r="AG18" s="8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</row>
    <row r="19" spans="1:52" s="21" customFormat="1" ht="14.1" customHeight="1" thickBot="1">
      <c r="A19" s="614">
        <v>7</v>
      </c>
      <c r="B19" s="617"/>
      <c r="C19" s="606"/>
      <c r="D19" s="1264"/>
      <c r="E19" s="1940"/>
      <c r="F19" s="956" t="s">
        <v>1795</v>
      </c>
      <c r="G19" s="618">
        <v>0</v>
      </c>
      <c r="H19" s="623"/>
      <c r="I19" s="607"/>
      <c r="J19" s="607"/>
      <c r="K19" s="607"/>
      <c r="L19" s="815"/>
      <c r="M19" s="624"/>
      <c r="N19" s="619">
        <f t="shared" si="3"/>
        <v>0</v>
      </c>
      <c r="O19" s="791">
        <v>0</v>
      </c>
      <c r="P19" s="1450">
        <f>IF(OR('Val-Départ'!G19="note de crédit",  'Val-Départ'!G19="Marchandise"), "0",PRODUCT(N19,O19))</f>
        <v>0</v>
      </c>
      <c r="Q19" s="1446" t="str">
        <f>IF(('Val-Départ'!G19="Marchandise"),  PRODUCT(N19,O19),"0")</f>
        <v>0</v>
      </c>
      <c r="R19" s="1454" t="str">
        <f>IF(('Val-Départ'!G19="note de crédit"),PRODUCT(N19,O19),"0")</f>
        <v>0</v>
      </c>
      <c r="S19" s="794"/>
      <c r="T19" s="604">
        <f>IF(('Val-Départ'!G19&lt;&gt;"note de crédit"),SUM(N19,P19,Q19,R19,-J19),"")</f>
        <v>0</v>
      </c>
      <c r="U19" s="1469">
        <f t="shared" si="4"/>
        <v>0</v>
      </c>
      <c r="V19" s="588" t="str">
        <f>IF(('Val-Départ'!G19="note de crédit"),(N19+R19),"")</f>
        <v/>
      </c>
      <c r="W19" s="604">
        <f t="shared" ref="W19:W25" si="7">IF(S19=0,T19,T19-S19)</f>
        <v>0</v>
      </c>
      <c r="X19" s="1393">
        <f t="shared" si="6"/>
        <v>0</v>
      </c>
      <c r="Y19" s="1398">
        <f t="shared" si="5"/>
        <v>0</v>
      </c>
      <c r="Z19" s="1471">
        <f t="shared" si="2"/>
        <v>0</v>
      </c>
      <c r="AA19" s="610"/>
      <c r="AB19" s="602"/>
      <c r="AC19" s="603">
        <v>550</v>
      </c>
      <c r="AD19" s="1400"/>
      <c r="AE19" s="5"/>
      <c r="AF19" s="5"/>
      <c r="AG19" s="5"/>
    </row>
    <row r="20" spans="1:52" ht="14.1" customHeight="1" thickBot="1">
      <c r="A20" s="613">
        <v>8</v>
      </c>
      <c r="B20" s="617"/>
      <c r="C20" s="606"/>
      <c r="D20" s="1264"/>
      <c r="E20" s="1940"/>
      <c r="F20" s="956" t="s">
        <v>1795</v>
      </c>
      <c r="G20" s="618">
        <v>0</v>
      </c>
      <c r="H20" s="623"/>
      <c r="I20" s="607"/>
      <c r="J20" s="607"/>
      <c r="K20" s="607"/>
      <c r="L20" s="815"/>
      <c r="M20" s="624"/>
      <c r="N20" s="619">
        <f t="shared" si="3"/>
        <v>0</v>
      </c>
      <c r="O20" s="791">
        <v>0</v>
      </c>
      <c r="P20" s="1450">
        <f>IF(OR('Val-Départ'!G20="note de crédit",  'Val-Départ'!G20="Marchandise"), "0",PRODUCT(N20,O20))</f>
        <v>0</v>
      </c>
      <c r="Q20" s="1446" t="str">
        <f>IF(('Val-Départ'!G20="Marchandise"),  PRODUCT(N20,O20),"0")</f>
        <v>0</v>
      </c>
      <c r="R20" s="1454" t="str">
        <f>IF(('Val-Départ'!G20="note de crédit"),PRODUCT(N20,O20),"0")</f>
        <v>0</v>
      </c>
      <c r="S20" s="794"/>
      <c r="T20" s="604">
        <f>IF(('Val-Départ'!G20&lt;&gt;"note de crédit"),SUM(N20,P20,Q20,R20,-J20),"")</f>
        <v>0</v>
      </c>
      <c r="U20" s="1469">
        <f t="shared" si="4"/>
        <v>0</v>
      </c>
      <c r="V20" s="588" t="str">
        <f>IF(('Val-Départ'!G20="note de crédit"),(N20+R20),"")</f>
        <v/>
      </c>
      <c r="W20" s="604">
        <f t="shared" si="7"/>
        <v>0</v>
      </c>
      <c r="X20" s="1393">
        <f t="shared" si="6"/>
        <v>0</v>
      </c>
      <c r="Y20" s="1398">
        <f t="shared" si="5"/>
        <v>0</v>
      </c>
      <c r="Z20" s="1471">
        <f t="shared" si="2"/>
        <v>0</v>
      </c>
      <c r="AA20" s="610"/>
      <c r="AB20" s="612"/>
      <c r="AC20" s="603">
        <v>550</v>
      </c>
      <c r="AD20" s="1400"/>
      <c r="AE20" s="8"/>
      <c r="AF20" s="8"/>
      <c r="AG20" s="8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</row>
    <row r="21" spans="1:52" ht="14.1" customHeight="1" thickBot="1">
      <c r="A21" s="613" t="s">
        <v>33</v>
      </c>
      <c r="B21" s="617"/>
      <c r="C21" s="606"/>
      <c r="D21" s="1264"/>
      <c r="E21" s="1940"/>
      <c r="F21" s="956" t="s">
        <v>1770</v>
      </c>
      <c r="G21" s="618">
        <v>0</v>
      </c>
      <c r="H21" s="623"/>
      <c r="I21" s="607"/>
      <c r="J21" s="607"/>
      <c r="K21" s="607"/>
      <c r="L21" s="815"/>
      <c r="M21" s="624"/>
      <c r="N21" s="619">
        <f t="shared" si="3"/>
        <v>0</v>
      </c>
      <c r="O21" s="791">
        <v>0</v>
      </c>
      <c r="P21" s="1450">
        <f>IF(OR('Val-Départ'!G21="note de crédit",  'Val-Départ'!G21="Marchandise"), "0",PRODUCT(N21,O21))</f>
        <v>0</v>
      </c>
      <c r="Q21" s="1446" t="str">
        <f>IF(('Val-Départ'!G21="Marchandise"),  PRODUCT(N21,O21),"0")</f>
        <v>0</v>
      </c>
      <c r="R21" s="1454" t="str">
        <f>IF(('Val-Départ'!G21="note de crédit"),PRODUCT(N21,O21),"0")</f>
        <v>0</v>
      </c>
      <c r="S21" s="794"/>
      <c r="T21" s="604">
        <f>IF(('Val-Départ'!G21&lt;&gt;"note de crédit"),SUM(N21,P21,Q21,R21,-J21),"")</f>
        <v>0</v>
      </c>
      <c r="U21" s="1469">
        <f t="shared" si="4"/>
        <v>0</v>
      </c>
      <c r="V21" s="588" t="str">
        <f>IF(('Val-Départ'!G21="note de crédit"),(N21+R21),"")</f>
        <v/>
      </c>
      <c r="W21" s="604">
        <f t="shared" si="7"/>
        <v>0</v>
      </c>
      <c r="X21" s="1393">
        <f t="shared" si="6"/>
        <v>0</v>
      </c>
      <c r="Y21" s="1398">
        <f t="shared" si="5"/>
        <v>0</v>
      </c>
      <c r="Z21" s="1471">
        <f t="shared" si="2"/>
        <v>0</v>
      </c>
      <c r="AA21" s="610"/>
      <c r="AB21" s="612"/>
      <c r="AC21" s="603"/>
      <c r="AD21" s="1400"/>
      <c r="AE21" s="8"/>
      <c r="AF21" s="8"/>
      <c r="AG21" s="8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</row>
    <row r="22" spans="1:52" ht="14.1" customHeight="1" thickBot="1">
      <c r="A22" s="613" t="s">
        <v>34</v>
      </c>
      <c r="B22" s="617"/>
      <c r="C22" s="606"/>
      <c r="D22" s="1264"/>
      <c r="E22" s="1940"/>
      <c r="F22" s="956" t="s">
        <v>1795</v>
      </c>
      <c r="G22" s="618">
        <v>0</v>
      </c>
      <c r="H22" s="623"/>
      <c r="I22" s="607"/>
      <c r="J22" s="607"/>
      <c r="K22" s="607"/>
      <c r="L22" s="815"/>
      <c r="M22" s="624"/>
      <c r="N22" s="619">
        <f t="shared" si="3"/>
        <v>0</v>
      </c>
      <c r="O22" s="791">
        <v>0</v>
      </c>
      <c r="P22" s="1450">
        <f>IF(OR('Val-Départ'!G22="note de crédit",  'Val-Départ'!G22="Marchandise"), "0",PRODUCT(N22,O22))</f>
        <v>0</v>
      </c>
      <c r="Q22" s="1446" t="str">
        <f>IF(('Val-Départ'!G22="Marchandise"),  PRODUCT(N22,O22),"0")</f>
        <v>0</v>
      </c>
      <c r="R22" s="1454" t="str">
        <f>IF(('Val-Départ'!G22="note de crédit"),PRODUCT(N22,O22),"0")</f>
        <v>0</v>
      </c>
      <c r="S22" s="794"/>
      <c r="T22" s="604">
        <f>IF(('Val-Départ'!G22&lt;&gt;"note de crédit"),SUM(N22,P22,Q22,R22,-J22),"")</f>
        <v>0</v>
      </c>
      <c r="U22" s="1469">
        <f t="shared" si="4"/>
        <v>0</v>
      </c>
      <c r="V22" s="588" t="str">
        <f>IF(('Val-Départ'!G22="note de crédit"),(N22+R22),"")</f>
        <v/>
      </c>
      <c r="W22" s="604">
        <f t="shared" si="7"/>
        <v>0</v>
      </c>
      <c r="X22" s="1393">
        <f t="shared" si="6"/>
        <v>0</v>
      </c>
      <c r="Y22" s="1398">
        <f t="shared" si="5"/>
        <v>0</v>
      </c>
      <c r="Z22" s="1471">
        <f t="shared" si="2"/>
        <v>0</v>
      </c>
      <c r="AA22" s="610"/>
      <c r="AB22" s="612"/>
      <c r="AC22" s="603"/>
      <c r="AD22" s="1400"/>
      <c r="AE22" s="8"/>
      <c r="AF22" s="8"/>
      <c r="AG22" s="8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</row>
    <row r="23" spans="1:52" ht="14.1" customHeight="1" thickBot="1">
      <c r="A23" s="613" t="s">
        <v>35</v>
      </c>
      <c r="B23" s="617"/>
      <c r="C23" s="606"/>
      <c r="D23" s="1264"/>
      <c r="E23" s="1940"/>
      <c r="F23" s="956" t="s">
        <v>1771</v>
      </c>
      <c r="G23" s="618">
        <v>0</v>
      </c>
      <c r="H23" s="623"/>
      <c r="I23" s="607"/>
      <c r="J23" s="607"/>
      <c r="K23" s="607"/>
      <c r="L23" s="815"/>
      <c r="M23" s="624"/>
      <c r="N23" s="619">
        <f t="shared" si="3"/>
        <v>0</v>
      </c>
      <c r="O23" s="791">
        <v>0</v>
      </c>
      <c r="P23" s="1450">
        <f>IF(OR('Val-Départ'!G23="note de crédit",  'Val-Départ'!G23="Marchandise"), "0",PRODUCT(N23,O23))</f>
        <v>0</v>
      </c>
      <c r="Q23" s="1446" t="str">
        <f>IF(('Val-Départ'!G23="Marchandise"),  PRODUCT(N23,O23),"0")</f>
        <v>0</v>
      </c>
      <c r="R23" s="1454" t="str">
        <f>IF(('Val-Départ'!G23="note de crédit"),PRODUCT(N23,O23),"0")</f>
        <v>0</v>
      </c>
      <c r="S23" s="794"/>
      <c r="T23" s="604">
        <f>IF(('Val-Départ'!G23&lt;&gt;"note de crédit"),SUM(N23,P23,Q23,R23,-J23),"")</f>
        <v>0</v>
      </c>
      <c r="U23" s="1469">
        <f t="shared" si="4"/>
        <v>0</v>
      </c>
      <c r="V23" s="588" t="str">
        <f>IF(('Val-Départ'!G23="note de crédit"),(N23+R23),"")</f>
        <v/>
      </c>
      <c r="W23" s="604">
        <f t="shared" si="7"/>
        <v>0</v>
      </c>
      <c r="X23" s="1393">
        <f t="shared" si="6"/>
        <v>0</v>
      </c>
      <c r="Y23" s="1398">
        <f t="shared" si="5"/>
        <v>0</v>
      </c>
      <c r="Z23" s="1471">
        <f t="shared" si="2"/>
        <v>0</v>
      </c>
      <c r="AA23" s="610"/>
      <c r="AB23" s="612"/>
      <c r="AC23" s="603"/>
      <c r="AD23" s="1400"/>
      <c r="AE23" s="8"/>
      <c r="AF23" s="8"/>
      <c r="AG23" s="8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</row>
    <row r="24" spans="1:52" ht="14.1" customHeight="1">
      <c r="A24" s="613" t="s">
        <v>36</v>
      </c>
      <c r="B24" s="617"/>
      <c r="C24" s="606"/>
      <c r="D24" s="1264"/>
      <c r="E24" s="1945"/>
      <c r="F24" s="593"/>
      <c r="G24" s="618"/>
      <c r="H24" s="623"/>
      <c r="I24" s="607"/>
      <c r="J24" s="607"/>
      <c r="K24" s="607"/>
      <c r="L24" s="815"/>
      <c r="M24" s="624"/>
      <c r="N24" s="619">
        <f t="shared" si="3"/>
        <v>0</v>
      </c>
      <c r="O24" s="791">
        <v>0</v>
      </c>
      <c r="P24" s="1450">
        <f>IF(OR('Val-Départ'!G24="note de crédit",  'Val-Départ'!G24="Marchandise"), "0",PRODUCT(N24,O24))</f>
        <v>0</v>
      </c>
      <c r="Q24" s="1446" t="str">
        <f>IF(('Val-Départ'!G24="Marchandise"),  PRODUCT(N24,O24),"0")</f>
        <v>0</v>
      </c>
      <c r="R24" s="1454" t="str">
        <f>IF(('Val-Départ'!G24="note de crédit"),PRODUCT(N24,O24),"0")</f>
        <v>0</v>
      </c>
      <c r="S24" s="794"/>
      <c r="T24" s="604">
        <f>IF(('Val-Départ'!G24&lt;&gt;"note de crédit"),SUM(N24,P24,Q24,R24,-J24),"")</f>
        <v>0</v>
      </c>
      <c r="U24" s="1469">
        <f t="shared" si="4"/>
        <v>0</v>
      </c>
      <c r="V24" s="588" t="str">
        <f>IF(('Val-Départ'!G24="note de crédit"),(N24+R24),"")</f>
        <v/>
      </c>
      <c r="W24" s="604">
        <f t="shared" si="7"/>
        <v>0</v>
      </c>
      <c r="X24" s="1393">
        <f t="shared" si="6"/>
        <v>0</v>
      </c>
      <c r="Y24" s="1398">
        <f t="shared" si="5"/>
        <v>0</v>
      </c>
      <c r="Z24" s="1471"/>
      <c r="AA24" s="610"/>
      <c r="AB24" s="612"/>
      <c r="AC24" s="603"/>
      <c r="AD24" s="1400"/>
      <c r="AE24" s="8"/>
      <c r="AF24" s="8"/>
      <c r="AG24" s="8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</row>
    <row r="25" spans="1:52" ht="14.1" customHeight="1" thickBot="1">
      <c r="A25" s="1299" t="s">
        <v>37</v>
      </c>
      <c r="B25" s="1300"/>
      <c r="C25" s="1301"/>
      <c r="D25" s="1302"/>
      <c r="E25" s="1946"/>
      <c r="F25" s="1303"/>
      <c r="G25" s="1304"/>
      <c r="H25" s="1305"/>
      <c r="I25" s="1306"/>
      <c r="J25" s="1306"/>
      <c r="K25" s="1306"/>
      <c r="L25" s="1307"/>
      <c r="M25" s="1308"/>
      <c r="N25" s="1309">
        <f t="shared" si="3"/>
        <v>0</v>
      </c>
      <c r="O25" s="1310">
        <v>0</v>
      </c>
      <c r="P25" s="1451">
        <f>IF(OR('Val-Départ'!G25="note de crédit",  'Val-Départ'!G25="Marchandise"), "0",PRODUCT(N25,O25))</f>
        <v>0</v>
      </c>
      <c r="Q25" s="1447" t="str">
        <f>IF(('Val-Départ'!G25="Marchandise"),  PRODUCT(N25,O25),"0")</f>
        <v>0</v>
      </c>
      <c r="R25" s="1456" t="str">
        <f>IF(('Val-Départ'!G25="note de crédit"),PRODUCT(N25,O25),"0")</f>
        <v>0</v>
      </c>
      <c r="S25" s="1312"/>
      <c r="T25" s="1313">
        <f>IF(('Val-Départ'!G25&lt;&gt;"note de crédit"),SUM(N25,P25,Q25,R25,-J25),"")</f>
        <v>0</v>
      </c>
      <c r="U25" s="1470">
        <f t="shared" si="4"/>
        <v>0</v>
      </c>
      <c r="V25" s="1311" t="str">
        <f>IF(('Val-Départ'!G25="note de crédit"),(N25+R25),"")</f>
        <v/>
      </c>
      <c r="W25" s="1313">
        <f t="shared" si="7"/>
        <v>0</v>
      </c>
      <c r="X25" s="1394">
        <f t="shared" si="6"/>
        <v>0</v>
      </c>
      <c r="Y25" s="1401">
        <f t="shared" si="5"/>
        <v>0</v>
      </c>
      <c r="Z25" s="1473"/>
      <c r="AA25" s="1402"/>
      <c r="AB25" s="1403"/>
      <c r="AC25" s="1404"/>
      <c r="AD25" s="1405"/>
      <c r="AE25" s="8"/>
      <c r="AF25" s="8"/>
      <c r="AG25" s="8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</row>
    <row r="26" spans="1:52" s="1219" customFormat="1" ht="14.1" customHeight="1" thickTop="1" thickBot="1">
      <c r="A26" s="1315" t="s">
        <v>38</v>
      </c>
      <c r="B26" s="1316"/>
      <c r="C26" s="1317"/>
      <c r="D26" s="1318">
        <f>SUM(D13:D25)</f>
        <v>3966.3</v>
      </c>
      <c r="E26" s="1940"/>
      <c r="F26" s="1294"/>
      <c r="G26" s="1410" t="s">
        <v>19</v>
      </c>
      <c r="H26" s="1319"/>
      <c r="I26" s="1320">
        <f>SUM(I13:I25)</f>
        <v>2161.39</v>
      </c>
      <c r="J26" s="1320"/>
      <c r="K26" s="1320"/>
      <c r="L26" s="1321"/>
      <c r="M26" s="1322"/>
      <c r="N26" s="1323">
        <f>SUM(N13:N25)</f>
        <v>2161.39</v>
      </c>
      <c r="O26" s="1324"/>
      <c r="P26" s="1452">
        <f t="shared" ref="P26:W26" si="8">SUM(P13:P25)</f>
        <v>260.28870000000001</v>
      </c>
      <c r="Q26" s="1448">
        <f>SUM(Q13:Q25)</f>
        <v>193.60319999999999</v>
      </c>
      <c r="R26" s="1457" t="str">
        <f>IF(('Val-Départ'!G26="note de crédit"),PRODUCT(N26,O26),"0")</f>
        <v>0</v>
      </c>
      <c r="S26" s="1325"/>
      <c r="T26" s="1295">
        <f>SUM(T13:T25)</f>
        <v>2615.2819</v>
      </c>
      <c r="U26" s="1296">
        <f>SUM(U13:U23)</f>
        <v>453.89189999999996</v>
      </c>
      <c r="V26" s="1297">
        <f t="shared" si="8"/>
        <v>0</v>
      </c>
      <c r="W26" s="1298">
        <f t="shared" si="8"/>
        <v>2615.2819</v>
      </c>
      <c r="X26" s="1395">
        <f>SUM(X13:X25)</f>
        <v>3681.43</v>
      </c>
      <c r="Y26" s="1406">
        <f t="shared" si="5"/>
        <v>0</v>
      </c>
      <c r="Z26" s="1406"/>
      <c r="AA26" s="1407"/>
      <c r="AB26" s="1408"/>
      <c r="AC26" s="1409"/>
      <c r="AD26" s="792">
        <f>SUM(AD13:AD25)</f>
        <v>3681.43</v>
      </c>
      <c r="AE26" s="747"/>
      <c r="AF26" s="1345">
        <f>AD26</f>
        <v>3681.43</v>
      </c>
      <c r="AG26" s="747" t="s">
        <v>1821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</row>
    <row r="27" spans="1:52" ht="14.1" customHeight="1" thickTop="1" thickBot="1">
      <c r="A27" s="33"/>
      <c r="B27" s="34"/>
      <c r="C27" s="128"/>
      <c r="D27" s="129"/>
      <c r="E27" s="129"/>
      <c r="F27" s="130"/>
      <c r="G27" s="35"/>
      <c r="H27" s="128"/>
      <c r="I27" s="36"/>
      <c r="J27" s="393"/>
      <c r="K27" s="393"/>
      <c r="L27" s="816"/>
      <c r="M27" s="393"/>
      <c r="N27" s="545"/>
      <c r="O27" s="25"/>
      <c r="P27" s="37" t="s">
        <v>485</v>
      </c>
      <c r="Q27" s="393"/>
      <c r="R27" s="393" t="s">
        <v>481</v>
      </c>
      <c r="S27" s="797"/>
      <c r="T27" s="530"/>
      <c r="U27" s="530"/>
      <c r="V27" s="747"/>
      <c r="W27" s="747"/>
      <c r="X27" s="1293"/>
      <c r="Y27" s="1280"/>
      <c r="Z27" s="20"/>
      <c r="AA27" s="530"/>
      <c r="AB27" s="747"/>
      <c r="AC27" s="747"/>
      <c r="AD27" s="1424" t="s">
        <v>1836</v>
      </c>
      <c r="AE27" s="4"/>
      <c r="AF27" s="1346">
        <f>AK46</f>
        <v>2588.61</v>
      </c>
      <c r="AG27" s="4" t="s">
        <v>1820</v>
      </c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"/>
    </row>
    <row r="28" spans="1:52" ht="14.1" customHeight="1" thickTop="1" thickBot="1">
      <c r="A28" s="33"/>
      <c r="B28" s="1593" t="s">
        <v>1835</v>
      </c>
      <c r="C28" s="1594"/>
      <c r="D28" s="1595"/>
      <c r="E28" s="1941"/>
      <c r="F28" s="130"/>
      <c r="G28" s="35"/>
      <c r="H28" s="1593" t="s">
        <v>1835</v>
      </c>
      <c r="I28" s="1594"/>
      <c r="J28" s="1594"/>
      <c r="K28" s="1594"/>
      <c r="L28" s="1594"/>
      <c r="M28" s="1594"/>
      <c r="N28" s="1607" t="s">
        <v>491</v>
      </c>
      <c r="O28" s="1608"/>
      <c r="P28" s="1435">
        <f>SUM(P26:R26)</f>
        <v>453.89189999999996</v>
      </c>
      <c r="Q28" s="1436" t="s">
        <v>498</v>
      </c>
      <c r="R28" s="1437">
        <v>-103.07</v>
      </c>
      <c r="S28" s="798"/>
      <c r="T28" s="793"/>
      <c r="U28" s="793"/>
      <c r="V28" s="799"/>
      <c r="W28" s="530"/>
      <c r="X28" s="747"/>
      <c r="Y28" s="747"/>
      <c r="Z28" s="1293"/>
      <c r="AA28" s="1280"/>
      <c r="AB28" s="1596" t="s">
        <v>1819</v>
      </c>
      <c r="AC28" s="1596"/>
      <c r="AD28" s="1596"/>
      <c r="AE28" s="1596"/>
      <c r="AF28" s="1347">
        <f>(AF26-AF27)</f>
        <v>1092.8199999999997</v>
      </c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4"/>
      <c r="AX28" s="4"/>
      <c r="AY28" s="4"/>
    </row>
    <row r="29" spans="1:52" s="21" customFormat="1" ht="16.5" customHeight="1" thickTop="1">
      <c r="A29" s="747"/>
      <c r="B29" s="747"/>
      <c r="C29" s="782"/>
      <c r="D29" s="783"/>
      <c r="E29" s="783"/>
      <c r="F29" s="760"/>
      <c r="G29" s="547"/>
      <c r="H29" s="547"/>
      <c r="I29" s="530"/>
      <c r="J29" s="530"/>
      <c r="K29" s="530"/>
      <c r="L29" s="762"/>
      <c r="M29" s="784"/>
      <c r="N29" s="802" t="s">
        <v>499</v>
      </c>
      <c r="O29" s="530" t="s">
        <v>19</v>
      </c>
      <c r="P29" s="799">
        <f>SUM(P28,R28)</f>
        <v>350.82189999999997</v>
      </c>
      <c r="Q29" s="803" t="s">
        <v>488</v>
      </c>
      <c r="R29" s="530"/>
      <c r="S29" s="530"/>
      <c r="T29" s="530"/>
      <c r="U29" s="530"/>
      <c r="V29" s="530"/>
      <c r="Z29" s="661"/>
      <c r="AA29" s="661"/>
      <c r="AB29" s="785"/>
      <c r="AC29" s="788"/>
      <c r="AD29" s="788"/>
      <c r="AE29" s="788"/>
    </row>
    <row r="30" spans="1:52" s="21" customFormat="1" ht="16.5" customHeight="1">
      <c r="A30" s="1631"/>
      <c r="B30" s="1631"/>
      <c r="C30" s="1631"/>
      <c r="D30" s="1631"/>
      <c r="E30" s="1565"/>
      <c r="F30" s="760"/>
      <c r="G30" s="1438"/>
      <c r="H30" s="1438"/>
      <c r="I30" s="1438"/>
      <c r="J30" s="1438"/>
      <c r="K30" s="1291"/>
      <c r="L30" s="820"/>
      <c r="M30" s="789"/>
      <c r="N30" s="788"/>
      <c r="O30" s="788"/>
      <c r="P30" s="530"/>
      <c r="Q30" s="530"/>
      <c r="R30" s="1280"/>
      <c r="S30" s="1280"/>
      <c r="T30" s="788"/>
      <c r="U30" s="788"/>
      <c r="V30" s="788"/>
      <c r="W30" s="788"/>
      <c r="X30" s="788"/>
      <c r="Y30" s="715"/>
      <c r="Z30" s="747"/>
      <c r="AA30" s="747"/>
      <c r="AB30" s="747"/>
    </row>
    <row r="31" spans="1:52" s="563" customFormat="1" ht="14.1" customHeight="1" thickBot="1">
      <c r="A31" s="1427"/>
      <c r="G31" s="1427">
        <v>1</v>
      </c>
      <c r="H31" s="1429">
        <v>2</v>
      </c>
      <c r="I31" s="1430">
        <v>3</v>
      </c>
      <c r="J31" s="380" t="s">
        <v>224</v>
      </c>
      <c r="K31" s="1429">
        <v>5</v>
      </c>
      <c r="L31" s="1431">
        <v>6</v>
      </c>
      <c r="M31" s="1431">
        <v>7</v>
      </c>
      <c r="N31" s="1427">
        <v>8</v>
      </c>
      <c r="O31" s="1427">
        <v>9</v>
      </c>
      <c r="P31" s="1432">
        <v>10</v>
      </c>
      <c r="Q31" s="1427">
        <v>11</v>
      </c>
      <c r="R31" s="1427">
        <v>12</v>
      </c>
      <c r="S31" s="1429">
        <v>13</v>
      </c>
      <c r="T31" s="1427">
        <v>14</v>
      </c>
      <c r="U31" s="1427">
        <v>15</v>
      </c>
      <c r="V31" s="1427">
        <v>16</v>
      </c>
      <c r="W31" s="1427">
        <v>17</v>
      </c>
      <c r="X31" s="1427">
        <v>18</v>
      </c>
      <c r="Y31" s="1427">
        <v>19</v>
      </c>
      <c r="Z31" s="1429">
        <v>20</v>
      </c>
      <c r="AA31" s="1429">
        <v>21</v>
      </c>
      <c r="AB31" s="1429">
        <v>22</v>
      </c>
      <c r="AC31" s="1429">
        <v>23</v>
      </c>
      <c r="AD31" s="1429">
        <v>24</v>
      </c>
      <c r="AE31" s="1429">
        <v>25</v>
      </c>
      <c r="AF31" s="1429">
        <v>26</v>
      </c>
      <c r="AG31" s="1433">
        <v>27</v>
      </c>
      <c r="AH31" s="1433">
        <v>28</v>
      </c>
      <c r="AI31" s="1433">
        <v>29</v>
      </c>
      <c r="AJ31" s="1433">
        <v>30</v>
      </c>
      <c r="AK31" s="1433">
        <v>31</v>
      </c>
      <c r="AL31" s="1433">
        <v>32</v>
      </c>
      <c r="AM31" s="1433">
        <v>33</v>
      </c>
      <c r="AN31" s="1433">
        <v>34</v>
      </c>
      <c r="AO31" s="1433">
        <v>35</v>
      </c>
      <c r="AP31" s="1434"/>
      <c r="AQ31" s="1434"/>
      <c r="AR31" s="1434"/>
      <c r="AS31" s="1434"/>
      <c r="AT31" s="1434"/>
      <c r="AU31" s="1434"/>
      <c r="AV31" s="1434"/>
    </row>
    <row r="32" spans="1:52" ht="18" customHeight="1" thickTop="1" thickBot="1">
      <c r="A32" s="1628" t="s">
        <v>20</v>
      </c>
      <c r="B32" s="1629"/>
      <c r="C32" s="1629"/>
      <c r="D32" s="1630"/>
      <c r="E32" s="1572"/>
      <c r="F32" s="9"/>
      <c r="G32" s="1597" t="s">
        <v>225</v>
      </c>
      <c r="H32" s="1598"/>
      <c r="I32" s="1598"/>
      <c r="J32" s="1598"/>
      <c r="K32" s="1598"/>
      <c r="L32" s="1598"/>
      <c r="M32" s="1599"/>
      <c r="N32" s="1378"/>
      <c r="O32" s="1378"/>
      <c r="P32" s="1463" t="s">
        <v>1847</v>
      </c>
      <c r="Q32" s="1379"/>
      <c r="R32" s="1352"/>
      <c r="S32" s="1287"/>
      <c r="T32" s="1605" t="s">
        <v>65</v>
      </c>
      <c r="U32" s="1605"/>
      <c r="V32" s="1361"/>
      <c r="W32" s="1361"/>
      <c r="X32" s="1361"/>
      <c r="Y32" s="1361"/>
      <c r="Z32" s="1361"/>
      <c r="AA32" s="1413"/>
      <c r="AB32" s="473" t="s">
        <v>327</v>
      </c>
      <c r="AC32" s="1348" t="s">
        <v>1829</v>
      </c>
      <c r="AD32" s="4"/>
      <c r="AE32" s="4"/>
      <c r="AF32" s="4"/>
      <c r="AG32" s="4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</row>
    <row r="33" spans="1:69" s="11" customFormat="1" ht="14.1" customHeight="1" thickTop="1" thickBot="1">
      <c r="A33" s="1353"/>
      <c r="B33" s="1636" t="s">
        <v>1833</v>
      </c>
      <c r="C33" s="1637"/>
      <c r="D33" s="1638"/>
      <c r="E33" s="1567"/>
      <c r="F33" s="1602" t="s">
        <v>21</v>
      </c>
      <c r="G33" s="1603"/>
      <c r="H33" s="1603"/>
      <c r="I33" s="1603"/>
      <c r="J33" s="1603"/>
      <c r="K33" s="1603"/>
      <c r="L33" s="1603"/>
      <c r="M33" s="1604"/>
      <c r="N33" s="1362"/>
      <c r="O33" s="1352"/>
      <c r="P33" s="1464" t="s">
        <v>65</v>
      </c>
      <c r="Q33" s="753" t="s">
        <v>466</v>
      </c>
      <c r="R33" s="1352"/>
      <c r="S33" s="1352"/>
      <c r="T33" s="1606">
        <v>4510</v>
      </c>
      <c r="U33" s="1606"/>
      <c r="V33" s="1418">
        <v>4514</v>
      </c>
      <c r="W33" s="1419" t="s">
        <v>333</v>
      </c>
      <c r="X33" s="1420"/>
      <c r="Y33" s="1418">
        <v>4514</v>
      </c>
      <c r="Z33" s="1421"/>
      <c r="AA33" s="1422"/>
      <c r="AB33" s="1422" t="s">
        <v>324</v>
      </c>
      <c r="AC33" s="1422" t="s">
        <v>30</v>
      </c>
      <c r="AD33" s="1423" t="s">
        <v>1</v>
      </c>
      <c r="AE33" s="1422"/>
      <c r="AF33" s="1600" t="s">
        <v>1832</v>
      </c>
      <c r="AG33" s="1600"/>
      <c r="AH33" s="1600"/>
      <c r="AI33" s="1600"/>
      <c r="AJ33" s="1600"/>
      <c r="AK33" s="1601"/>
      <c r="AL33" s="759"/>
      <c r="AM33" s="759"/>
      <c r="AN33" s="759"/>
      <c r="AO33" s="759"/>
      <c r="AP33" s="759"/>
      <c r="AQ33" s="759"/>
      <c r="AR33" s="759"/>
      <c r="AS33" s="759"/>
      <c r="AT33" s="759"/>
      <c r="AU33" s="759"/>
      <c r="AV33" s="759"/>
      <c r="AW33" s="12"/>
      <c r="AX33" s="12"/>
      <c r="AY33" s="12"/>
      <c r="AZ33" s="12"/>
      <c r="BA33" s="12"/>
      <c r="BB33" s="12"/>
      <c r="BC33" s="12"/>
      <c r="BD33" s="12"/>
      <c r="BE33" s="12"/>
    </row>
    <row r="34" spans="1:69" ht="19.5" customHeight="1" thickBot="1">
      <c r="A34" s="1363" t="s">
        <v>22</v>
      </c>
      <c r="B34" s="1364" t="s">
        <v>23</v>
      </c>
      <c r="C34" s="1365" t="s">
        <v>24</v>
      </c>
      <c r="D34" s="1366" t="s">
        <v>7</v>
      </c>
      <c r="E34" s="1942"/>
      <c r="F34" s="1367" t="s">
        <v>17</v>
      </c>
      <c r="G34" s="1375" t="s">
        <v>223</v>
      </c>
      <c r="H34" s="1376" t="s">
        <v>10</v>
      </c>
      <c r="I34" s="1376" t="s">
        <v>11</v>
      </c>
      <c r="J34" s="394" t="s">
        <v>407</v>
      </c>
      <c r="K34" s="394" t="s">
        <v>406</v>
      </c>
      <c r="L34" s="1377" t="s">
        <v>330</v>
      </c>
      <c r="M34" s="1380" t="s">
        <v>1830</v>
      </c>
      <c r="N34" s="1386" t="s">
        <v>409</v>
      </c>
      <c r="O34" s="148" t="s">
        <v>326</v>
      </c>
      <c r="P34" s="397" t="s">
        <v>1831</v>
      </c>
      <c r="Q34" s="529" t="s">
        <v>410</v>
      </c>
      <c r="R34" s="397" t="s">
        <v>1566</v>
      </c>
      <c r="S34" s="398"/>
      <c r="T34" s="1414" t="s">
        <v>484</v>
      </c>
      <c r="U34" s="1414" t="s">
        <v>1804</v>
      </c>
      <c r="V34" s="1415" t="s">
        <v>1803</v>
      </c>
      <c r="W34" s="1416" t="s">
        <v>1834</v>
      </c>
      <c r="X34" s="1417" t="s">
        <v>1828</v>
      </c>
      <c r="Y34" s="1417" t="s">
        <v>1803</v>
      </c>
      <c r="Z34" s="1417" t="s">
        <v>471</v>
      </c>
      <c r="AA34" s="564" t="s">
        <v>1806</v>
      </c>
      <c r="AB34" s="24" t="s">
        <v>346</v>
      </c>
      <c r="AC34" s="24" t="s">
        <v>347</v>
      </c>
      <c r="AD34" s="1348" t="s">
        <v>59</v>
      </c>
      <c r="AE34" s="768"/>
      <c r="AF34" s="1354" t="s">
        <v>1808</v>
      </c>
      <c r="AG34" s="19" t="s">
        <v>1809</v>
      </c>
      <c r="AH34" s="14" t="s">
        <v>15</v>
      </c>
      <c r="AI34" s="399" t="s">
        <v>9</v>
      </c>
      <c r="AJ34" s="605" t="s">
        <v>8</v>
      </c>
      <c r="AK34" s="1466" t="s">
        <v>1857</v>
      </c>
      <c r="AL34" s="775"/>
      <c r="AM34" s="547"/>
      <c r="AN34" s="661"/>
      <c r="AO34" s="661"/>
      <c r="AP34" s="747"/>
      <c r="AQ34" s="747"/>
      <c r="AR34" s="747"/>
      <c r="AS34" s="547"/>
      <c r="AT34" s="760"/>
      <c r="AU34" s="747"/>
      <c r="AV34" s="21"/>
      <c r="AW34" s="21"/>
      <c r="AX34" s="21"/>
      <c r="AY34" s="21"/>
      <c r="AZ34" s="21"/>
      <c r="BA34" s="21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</row>
    <row r="35" spans="1:69" ht="14.1" customHeight="1" thickTop="1" thickBot="1">
      <c r="A35" s="584">
        <v>1</v>
      </c>
      <c r="B35" s="585" t="s">
        <v>1840</v>
      </c>
      <c r="C35" s="586" t="s">
        <v>1841</v>
      </c>
      <c r="D35" s="1257">
        <v>0</v>
      </c>
      <c r="E35" s="1943"/>
      <c r="F35" s="1368" t="s">
        <v>1766</v>
      </c>
      <c r="G35" s="587" t="s">
        <v>31</v>
      </c>
      <c r="H35" s="1349" t="s">
        <v>1846</v>
      </c>
      <c r="I35" s="1350">
        <v>743.68</v>
      </c>
      <c r="J35" s="1350">
        <v>0</v>
      </c>
      <c r="K35" s="1350">
        <v>0</v>
      </c>
      <c r="L35" s="1351">
        <v>0</v>
      </c>
      <c r="M35" s="1381">
        <v>0</v>
      </c>
      <c r="N35" s="1387">
        <f>SUM(I35,-J35,K35,-L35,M35)</f>
        <v>743.68</v>
      </c>
      <c r="O35" s="592">
        <v>1</v>
      </c>
      <c r="P35" s="755">
        <v>0</v>
      </c>
      <c r="Q35" s="767">
        <f>(IF(P35=0,N35*O35,(N35*O35*P35)+N35))</f>
        <v>743.68</v>
      </c>
      <c r="R35" s="592">
        <v>0.21</v>
      </c>
      <c r="S35" s="1388">
        <f>(1-P35)</f>
        <v>1</v>
      </c>
      <c r="T35" s="588">
        <f>IF(OR('Val-Départ'!G35="note de crédit",  'Val-Départ'!G35="Marchandise"),"0",PRODUCT(N35,R35,S35))</f>
        <v>156.1728</v>
      </c>
      <c r="U35" s="588" t="str">
        <f>IF(( 'Val-Départ'!G35="Marchandise"),PRODUCT(N35,R35,S35),"0")</f>
        <v>0</v>
      </c>
      <c r="V35" s="588" t="str">
        <f>IF(OR('Val-Départ'!G35="note de crédit"), PRODUCT(N35,R35,S35),"0")</f>
        <v>0</v>
      </c>
      <c r="W35" s="1391">
        <v>0</v>
      </c>
      <c r="X35" s="1474">
        <f>(T35+U35)</f>
        <v>156.1728</v>
      </c>
      <c r="Y35" s="588" t="str">
        <f>IF((G35="note de crédit"),(N35*R35*S35),"0")</f>
        <v>0</v>
      </c>
      <c r="Z35" s="588">
        <f>IF((G35&lt;&gt;"note de crédit"),SUM(Q35,T35,U35,V35,-AB35,-AC35),"0")</f>
        <v>899.85279999999989</v>
      </c>
      <c r="AA35" s="619" t="str">
        <f>IF((G35="note de crédit"),SUM(Q35,V35),"0")</f>
        <v>0</v>
      </c>
      <c r="AB35" s="588"/>
      <c r="AC35" s="588"/>
      <c r="AD35" s="1279">
        <f>IF(AK35=ROUND(D35,2),AK35,IF(AK35=ROUND(D35+Z35,2),AK35,IF(AK35=ROUND(Z35,2),AK35,IF(AK35="",AK35,"0"))))</f>
        <v>899.85</v>
      </c>
      <c r="AE35" s="592"/>
      <c r="AF35" s="1355" t="str">
        <f>B35</f>
        <v>F0001</v>
      </c>
      <c r="AG35" s="743" t="str">
        <f>C35</f>
        <v>Feromat</v>
      </c>
      <c r="AH35" s="1262" t="s">
        <v>1858</v>
      </c>
      <c r="AI35" s="1261">
        <v>42317</v>
      </c>
      <c r="AJ35" s="603">
        <v>550</v>
      </c>
      <c r="AK35" s="1356">
        <v>899.85</v>
      </c>
      <c r="AL35" s="167"/>
      <c r="AM35" s="76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4"/>
      <c r="BC35" s="4"/>
      <c r="BD35" s="4"/>
      <c r="BE35" s="4"/>
      <c r="BF35" s="4"/>
    </row>
    <row r="36" spans="1:69" ht="14.1" customHeight="1" thickBot="1">
      <c r="A36" s="584">
        <v>2</v>
      </c>
      <c r="B36" s="1411" t="s">
        <v>1842</v>
      </c>
      <c r="C36" s="589" t="s">
        <v>1843</v>
      </c>
      <c r="D36" s="1258">
        <v>1115.52</v>
      </c>
      <c r="E36" s="1943"/>
      <c r="F36" s="1368" t="s">
        <v>1766</v>
      </c>
      <c r="G36" s="590" t="s">
        <v>27</v>
      </c>
      <c r="H36" s="591" t="s">
        <v>1848</v>
      </c>
      <c r="I36" s="589">
        <v>1395.67</v>
      </c>
      <c r="J36" s="599">
        <v>0</v>
      </c>
      <c r="K36" s="599">
        <v>0</v>
      </c>
      <c r="L36" s="817">
        <v>0</v>
      </c>
      <c r="M36" s="1382">
        <v>0</v>
      </c>
      <c r="N36" s="1387">
        <f t="shared" ref="N36:N45" si="9">SUM(I36,-J36,K36,-L36,M36)</f>
        <v>1395.67</v>
      </c>
      <c r="O36" s="592">
        <v>1</v>
      </c>
      <c r="P36" s="756">
        <v>0</v>
      </c>
      <c r="Q36" s="767">
        <f t="shared" ref="Q36:Q45" si="10">(IF(P36=0,N36*O36,(N36*O36*P36)+N36))</f>
        <v>1395.67</v>
      </c>
      <c r="R36" s="592">
        <v>0.21</v>
      </c>
      <c r="S36" s="1388">
        <f t="shared" ref="S36:S45" si="11">(1-P36)</f>
        <v>1</v>
      </c>
      <c r="T36" s="588" t="str">
        <f>IF(OR('Val-Départ'!G36="note de crédit",  'Val-Départ'!G36="Marchandise"),"0",PRODUCT(N36,R36,S36))</f>
        <v>0</v>
      </c>
      <c r="U36" s="588">
        <f>IF(( 'Val-Départ'!G36="Marchandise"),PRODUCT(N36,R36,S36),"0")</f>
        <v>293.09070000000003</v>
      </c>
      <c r="V36" s="588" t="str">
        <f>IF(OR('Val-Départ'!G36="note de crédit"), PRODUCT(N36,R36,S36),"0")</f>
        <v>0</v>
      </c>
      <c r="W36" s="1391">
        <v>0</v>
      </c>
      <c r="X36" s="1474">
        <f t="shared" ref="X36:X44" si="12">(T36+U36)</f>
        <v>293.09070000000003</v>
      </c>
      <c r="Y36" s="588" t="str">
        <f t="shared" ref="Y36:Y40" si="13">IF((G36="note de crédit"),(N36*R36*S36),"0")</f>
        <v>0</v>
      </c>
      <c r="Z36" s="588">
        <f t="shared" ref="Z36:Z44" si="14">IF((G36&lt;&gt;"note de crédit"),SUM(Q36,T36,U36,V36,-AB36,-AC36),"0")</f>
        <v>1688.7607</v>
      </c>
      <c r="AA36" s="619" t="str">
        <f t="shared" ref="AA36:AA44" si="15">IF((G36="note de crédit"),SUM(Q36,V36),"0")</f>
        <v>0</v>
      </c>
      <c r="AB36" s="588"/>
      <c r="AC36" s="588"/>
      <c r="AD36" s="1279">
        <f>IF(AK36=ROUND(D36,2),AK36,IF(AK36=ROUND(D36+Z36,2),AK36,IF(AK36=ROUND(Z36,2),AK36,IF(AK36="",AK36,"0"))))</f>
        <v>1688.76</v>
      </c>
      <c r="AE36" s="592"/>
      <c r="AF36" s="1355" t="str">
        <f t="shared" ref="AF36:AF45" si="16">B36</f>
        <v>F0002</v>
      </c>
      <c r="AG36" s="743" t="str">
        <f t="shared" ref="AG36:AG40" si="17">C36</f>
        <v>Durand</v>
      </c>
      <c r="AH36" s="1262" t="s">
        <v>1859</v>
      </c>
      <c r="AI36" s="1261">
        <v>42324</v>
      </c>
      <c r="AJ36">
        <v>550</v>
      </c>
      <c r="AK36" s="603">
        <v>1688.76</v>
      </c>
      <c r="AL36" s="168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4"/>
      <c r="BC36" s="4"/>
      <c r="BD36" s="4"/>
      <c r="BE36" s="4"/>
      <c r="BF36" s="4"/>
    </row>
    <row r="37" spans="1:69" s="4" customFormat="1" ht="14.1" customHeight="1" thickBot="1">
      <c r="A37" s="584">
        <v>3</v>
      </c>
      <c r="B37" s="1411" t="s">
        <v>1844</v>
      </c>
      <c r="C37" s="589" t="s">
        <v>1845</v>
      </c>
      <c r="D37" s="1258">
        <v>1859.2</v>
      </c>
      <c r="E37" s="1943"/>
      <c r="F37" s="1368" t="s">
        <v>1761</v>
      </c>
      <c r="G37" s="590" t="s">
        <v>27</v>
      </c>
      <c r="H37" s="591"/>
      <c r="I37" s="599"/>
      <c r="J37" s="599"/>
      <c r="K37" s="599"/>
      <c r="L37" s="818"/>
      <c r="M37" s="1382"/>
      <c r="N37" s="1387">
        <f>SUM(I37,-J37,K37,-L37,M37)</f>
        <v>0</v>
      </c>
      <c r="O37" s="592">
        <v>1</v>
      </c>
      <c r="P37" s="756">
        <v>0</v>
      </c>
      <c r="Q37" s="767">
        <f t="shared" si="10"/>
        <v>0</v>
      </c>
      <c r="R37" s="592">
        <v>0.06</v>
      </c>
      <c r="S37" s="1388">
        <f t="shared" si="11"/>
        <v>1</v>
      </c>
      <c r="T37" s="588" t="str">
        <f>IF(OR('Val-Départ'!G37="note de crédit",  'Val-Départ'!G37="Marchandise"),"0",PRODUCT(N37,R37,S37))</f>
        <v>0</v>
      </c>
      <c r="U37" s="588">
        <f>IF(( 'Val-Départ'!G37="Marchandise"),PRODUCT(N37,R37,S37),"0")</f>
        <v>0</v>
      </c>
      <c r="V37" s="588" t="str">
        <f>IF(OR('Val-Départ'!G37="note de crédit"), PRODUCT(N37,R37,S37),"0")</f>
        <v>0</v>
      </c>
      <c r="W37" s="1391">
        <v>0</v>
      </c>
      <c r="X37" s="1474">
        <f t="shared" si="12"/>
        <v>0</v>
      </c>
      <c r="Y37" s="588" t="str">
        <f t="shared" si="13"/>
        <v>0</v>
      </c>
      <c r="Z37" s="588">
        <f t="shared" si="14"/>
        <v>0</v>
      </c>
      <c r="AA37" s="619" t="str">
        <f t="shared" si="15"/>
        <v>0</v>
      </c>
      <c r="AB37" s="588"/>
      <c r="AC37" s="588"/>
      <c r="AD37" s="1279">
        <f t="shared" ref="AD37:AD45" si="18">IF(AK37=ROUND(D37,2),AK37,IF(AK37=ROUND(D37+Z37,2),AK37,IF(AK37=ROUND(Z37,2),AK37,IF(AK37="",AK37,"0"))))</f>
        <v>0</v>
      </c>
      <c r="AE37" s="592"/>
      <c r="AF37" s="1355" t="str">
        <f t="shared" si="16"/>
        <v>F0003</v>
      </c>
      <c r="AG37" s="743" t="str">
        <f t="shared" si="17"/>
        <v>Pierre</v>
      </c>
      <c r="AH37" s="1262"/>
      <c r="AI37" s="743"/>
      <c r="AJ37" s="603">
        <v>550</v>
      </c>
      <c r="AK37" s="1356"/>
      <c r="AL37" s="167"/>
      <c r="AM37" s="761"/>
      <c r="AN37" s="164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</row>
    <row r="38" spans="1:69" ht="14.1" customHeight="1" thickBot="1">
      <c r="A38" s="584">
        <v>4</v>
      </c>
      <c r="B38" s="1411"/>
      <c r="C38" s="589"/>
      <c r="D38" s="1258"/>
      <c r="E38" s="1943"/>
      <c r="F38" s="1368" t="s">
        <v>1767</v>
      </c>
      <c r="G38" s="590" t="s">
        <v>27</v>
      </c>
      <c r="H38" s="591"/>
      <c r="I38" s="599"/>
      <c r="J38" s="599"/>
      <c r="K38" s="599"/>
      <c r="L38" s="818"/>
      <c r="M38" s="1382"/>
      <c r="N38" s="1387">
        <f t="shared" si="9"/>
        <v>0</v>
      </c>
      <c r="O38" s="592">
        <v>1</v>
      </c>
      <c r="P38" s="756">
        <v>0</v>
      </c>
      <c r="Q38" s="767">
        <f t="shared" si="10"/>
        <v>0</v>
      </c>
      <c r="R38" s="592">
        <v>0.21</v>
      </c>
      <c r="S38" s="1388">
        <f t="shared" si="11"/>
        <v>1</v>
      </c>
      <c r="T38" s="588" t="str">
        <f>IF(OR('Val-Départ'!G38="note de crédit",  'Val-Départ'!G38="Marchandise"),"0",PRODUCT(N38,R38,S38))</f>
        <v>0</v>
      </c>
      <c r="U38" s="588">
        <f>IF(( 'Val-Départ'!G38="Marchandise"),PRODUCT(N38,R38,S38),"0")</f>
        <v>0</v>
      </c>
      <c r="V38" s="588" t="str">
        <f>IF(OR('Val-Départ'!G38="note de crédit"), PRODUCT(N38,R38,S38),"0")</f>
        <v>0</v>
      </c>
      <c r="W38" s="1391">
        <v>0</v>
      </c>
      <c r="X38" s="1474">
        <f t="shared" si="12"/>
        <v>0</v>
      </c>
      <c r="Y38" s="588" t="str">
        <f t="shared" si="13"/>
        <v>0</v>
      </c>
      <c r="Z38" s="588">
        <f t="shared" si="14"/>
        <v>0</v>
      </c>
      <c r="AA38" s="619" t="str">
        <f t="shared" si="15"/>
        <v>0</v>
      </c>
      <c r="AB38" s="588"/>
      <c r="AC38" s="588"/>
      <c r="AD38" s="1279">
        <f t="shared" si="18"/>
        <v>0</v>
      </c>
      <c r="AE38" s="592"/>
      <c r="AF38" s="1355">
        <f t="shared" si="16"/>
        <v>0</v>
      </c>
      <c r="AG38" s="743">
        <f t="shared" si="17"/>
        <v>0</v>
      </c>
      <c r="AH38" s="1262"/>
      <c r="AI38" s="743"/>
      <c r="AJ38" s="603">
        <v>550</v>
      </c>
      <c r="AK38" s="1356"/>
      <c r="AL38" s="168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4"/>
      <c r="BC38" s="4"/>
      <c r="BD38" s="4"/>
      <c r="BE38" s="4"/>
      <c r="BF38" s="4"/>
    </row>
    <row r="39" spans="1:69" s="4" customFormat="1" ht="13.5" customHeight="1" thickBot="1">
      <c r="A39" s="584">
        <v>5</v>
      </c>
      <c r="B39" s="1411"/>
      <c r="C39" s="589"/>
      <c r="D39" s="1258"/>
      <c r="E39" s="1943"/>
      <c r="F39" s="1368" t="s">
        <v>1791</v>
      </c>
      <c r="G39" s="590" t="s">
        <v>468</v>
      </c>
      <c r="H39" s="591"/>
      <c r="I39" s="599"/>
      <c r="J39" s="599"/>
      <c r="K39" s="599"/>
      <c r="L39" s="818"/>
      <c r="M39" s="1382"/>
      <c r="N39" s="1387">
        <f t="shared" si="9"/>
        <v>0</v>
      </c>
      <c r="O39" s="625">
        <v>1</v>
      </c>
      <c r="P39" s="757">
        <v>0</v>
      </c>
      <c r="Q39" s="767">
        <f t="shared" si="10"/>
        <v>0</v>
      </c>
      <c r="R39" s="625">
        <v>0.21</v>
      </c>
      <c r="S39" s="1388">
        <f t="shared" si="11"/>
        <v>1</v>
      </c>
      <c r="T39" s="588">
        <f>IF(OR('Val-Départ'!G39="note de crédit",  'Val-Départ'!G39="Marchandise"),"0",PRODUCT(N39,R39,S39))</f>
        <v>0</v>
      </c>
      <c r="U39" s="588" t="str">
        <f>IF(( 'Val-Départ'!G39="Marchandise"),PRODUCT(N39,R39,S39),"0")</f>
        <v>0</v>
      </c>
      <c r="V39" s="588" t="str">
        <f>IF(OR('Val-Départ'!G39="note de crédit"), PRODUCT(N39,R39,S39),"0")</f>
        <v>0</v>
      </c>
      <c r="W39" s="1391">
        <v>0</v>
      </c>
      <c r="X39" s="1474">
        <f t="shared" si="12"/>
        <v>0</v>
      </c>
      <c r="Y39" s="588" t="str">
        <f t="shared" si="13"/>
        <v>0</v>
      </c>
      <c r="Z39" s="588">
        <f t="shared" si="14"/>
        <v>0</v>
      </c>
      <c r="AA39" s="619" t="str">
        <f t="shared" si="15"/>
        <v>0</v>
      </c>
      <c r="AB39" s="588"/>
      <c r="AC39" s="588"/>
      <c r="AD39" s="1279">
        <f t="shared" si="18"/>
        <v>0</v>
      </c>
      <c r="AE39" s="592"/>
      <c r="AF39" s="1355">
        <f t="shared" si="16"/>
        <v>0</v>
      </c>
      <c r="AG39" s="743">
        <f t="shared" si="17"/>
        <v>0</v>
      </c>
      <c r="AH39" s="1262"/>
      <c r="AI39" s="743"/>
      <c r="AJ39" s="603">
        <v>550</v>
      </c>
      <c r="AK39" s="1356"/>
      <c r="AL39" s="168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</row>
    <row r="40" spans="1:69" ht="13.5" customHeight="1" thickBot="1">
      <c r="A40" s="584">
        <v>6</v>
      </c>
      <c r="B40" s="1411"/>
      <c r="C40" s="589"/>
      <c r="D40" s="1258"/>
      <c r="E40" s="1943"/>
      <c r="F40" s="1368" t="s">
        <v>1476</v>
      </c>
      <c r="G40" s="590" t="s">
        <v>13</v>
      </c>
      <c r="H40" s="591"/>
      <c r="I40" s="599"/>
      <c r="J40" s="599"/>
      <c r="K40" s="766"/>
      <c r="L40" s="817"/>
      <c r="M40" s="1382"/>
      <c r="N40" s="1387">
        <f t="shared" si="9"/>
        <v>0</v>
      </c>
      <c r="O40" s="592">
        <v>1</v>
      </c>
      <c r="P40" s="757">
        <v>0</v>
      </c>
      <c r="Q40" s="767">
        <f t="shared" si="10"/>
        <v>0</v>
      </c>
      <c r="R40" s="592">
        <v>0.21</v>
      </c>
      <c r="S40" s="1388">
        <f t="shared" si="11"/>
        <v>1</v>
      </c>
      <c r="T40" s="588" t="str">
        <f>IF(OR('Val-Départ'!G40="note de crédit",  'Val-Départ'!G40="Marchandise"),"0",PRODUCT(N40,R40,S40))</f>
        <v>0</v>
      </c>
      <c r="U40" s="588" t="str">
        <f>IF(( 'Val-Départ'!G40="Marchandise"),PRODUCT(N40,R40,S40),"0")</f>
        <v>0</v>
      </c>
      <c r="V40" s="588">
        <f>IF(OR('Val-Départ'!G40="note de crédit"), PRODUCT(N40,R40,S40),"0")</f>
        <v>0</v>
      </c>
      <c r="W40" s="1391">
        <v>0</v>
      </c>
      <c r="X40" s="1474">
        <f t="shared" si="12"/>
        <v>0</v>
      </c>
      <c r="Y40" s="588">
        <f t="shared" si="13"/>
        <v>0</v>
      </c>
      <c r="Z40" s="588" t="str">
        <f t="shared" si="14"/>
        <v>0</v>
      </c>
      <c r="AA40" s="619">
        <f t="shared" si="15"/>
        <v>0</v>
      </c>
      <c r="AB40" s="588"/>
      <c r="AC40" s="588"/>
      <c r="AD40" s="1279">
        <f t="shared" si="18"/>
        <v>0</v>
      </c>
      <c r="AE40" s="592"/>
      <c r="AF40" s="1355">
        <f t="shared" si="16"/>
        <v>0</v>
      </c>
      <c r="AG40" s="743">
        <f t="shared" si="17"/>
        <v>0</v>
      </c>
      <c r="AH40" s="1262"/>
      <c r="AI40" s="743"/>
      <c r="AJ40" s="603">
        <v>550</v>
      </c>
      <c r="AK40" s="1356"/>
      <c r="AL40" s="168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4"/>
      <c r="BC40" s="4"/>
      <c r="BD40" s="4"/>
      <c r="BE40" s="4"/>
      <c r="BF40" s="4"/>
    </row>
    <row r="41" spans="1:69" s="21" customFormat="1" ht="14.1" customHeight="1" thickBot="1">
      <c r="A41" s="594">
        <v>7</v>
      </c>
      <c r="B41" s="1411"/>
      <c r="C41" s="589"/>
      <c r="D41" s="1258"/>
      <c r="E41" s="1943"/>
      <c r="F41" s="1368" t="s">
        <v>1789</v>
      </c>
      <c r="G41" s="590" t="s">
        <v>227</v>
      </c>
      <c r="H41" s="591"/>
      <c r="I41" s="599"/>
      <c r="J41" s="599"/>
      <c r="K41" s="599"/>
      <c r="L41" s="818"/>
      <c r="M41" s="1382"/>
      <c r="N41" s="1387">
        <f t="shared" si="9"/>
        <v>0</v>
      </c>
      <c r="O41" s="592">
        <v>1</v>
      </c>
      <c r="P41" s="756">
        <v>0</v>
      </c>
      <c r="Q41" s="767">
        <f t="shared" si="10"/>
        <v>0</v>
      </c>
      <c r="R41" s="592">
        <v>0.21</v>
      </c>
      <c r="S41" s="1388">
        <f t="shared" si="11"/>
        <v>1</v>
      </c>
      <c r="T41" s="588">
        <f>IF(OR('Val-Départ'!G41="note de crédit",  'Val-Départ'!G41="Marchandise"),"0",PRODUCT(N41,R41,S41))</f>
        <v>0</v>
      </c>
      <c r="U41" s="588" t="str">
        <f>IF(( 'Val-Départ'!G41="Marchandise"),PRODUCT(N41,R41,S41),"0")</f>
        <v>0</v>
      </c>
      <c r="V41" s="588" t="str">
        <f>IF(OR('Val-Départ'!G41="note de crédit"), PRODUCT(N41,R41,S41),"0")</f>
        <v>0</v>
      </c>
      <c r="W41" s="1391">
        <v>0</v>
      </c>
      <c r="X41" s="1474">
        <f t="shared" si="12"/>
        <v>0</v>
      </c>
      <c r="Y41" s="588" t="str">
        <f>IF((G41="note de crédit"),(N41*R41*S41),"0")</f>
        <v>0</v>
      </c>
      <c r="Z41" s="588">
        <f t="shared" si="14"/>
        <v>0</v>
      </c>
      <c r="AA41" s="619" t="str">
        <f t="shared" si="15"/>
        <v>0</v>
      </c>
      <c r="AB41" s="588"/>
      <c r="AC41" s="588"/>
      <c r="AD41" s="1279">
        <f t="shared" si="18"/>
        <v>0</v>
      </c>
      <c r="AE41" s="592"/>
      <c r="AF41" s="1355">
        <f t="shared" si="16"/>
        <v>0</v>
      </c>
      <c r="AG41" s="743">
        <f>C41</f>
        <v>0</v>
      </c>
      <c r="AH41" s="1262"/>
      <c r="AI41" s="743"/>
      <c r="AJ41" s="603">
        <v>550</v>
      </c>
      <c r="AK41" s="1356"/>
      <c r="AL41" s="715"/>
    </row>
    <row r="42" spans="1:69" s="21" customFormat="1" ht="14.1" customHeight="1" thickBot="1">
      <c r="A42" s="594" t="s">
        <v>228</v>
      </c>
      <c r="B42" s="1411"/>
      <c r="C42" s="589"/>
      <c r="D42" s="1258"/>
      <c r="E42" s="1943"/>
      <c r="F42" s="1368" t="s">
        <v>1792</v>
      </c>
      <c r="G42" s="590" t="s">
        <v>388</v>
      </c>
      <c r="H42" s="591"/>
      <c r="I42" s="599"/>
      <c r="J42" s="599"/>
      <c r="K42" s="599"/>
      <c r="L42" s="818"/>
      <c r="M42" s="1382"/>
      <c r="N42" s="1387">
        <f t="shared" si="9"/>
        <v>0</v>
      </c>
      <c r="O42" s="592">
        <v>1</v>
      </c>
      <c r="P42" s="756">
        <v>0</v>
      </c>
      <c r="Q42" s="767">
        <f t="shared" si="10"/>
        <v>0</v>
      </c>
      <c r="R42" s="592">
        <v>0.21</v>
      </c>
      <c r="S42" s="1388">
        <f t="shared" si="11"/>
        <v>1</v>
      </c>
      <c r="T42" s="588">
        <f>IF(OR('Val-Départ'!G42="note de crédit",  'Val-Départ'!G42="Marchandise"),"0",PRODUCT(N42,R42,S42))</f>
        <v>0</v>
      </c>
      <c r="U42" s="588" t="str">
        <f>IF(( 'Val-Départ'!G42="Marchandise"),PRODUCT(N42,R42,S42),"0")</f>
        <v>0</v>
      </c>
      <c r="V42" s="588" t="str">
        <f>IF(OR('Val-Départ'!G42="note de crédit"), PRODUCT(N42,R42,S42),"0")</f>
        <v>0</v>
      </c>
      <c r="W42" s="1391">
        <v>0</v>
      </c>
      <c r="X42" s="1474">
        <f t="shared" si="12"/>
        <v>0</v>
      </c>
      <c r="Y42" s="588" t="str">
        <f t="shared" ref="Y42:Y44" si="19">IF((G42="note de crédit"),(N42*R42*S42),"0")</f>
        <v>0</v>
      </c>
      <c r="Z42" s="588">
        <f t="shared" si="14"/>
        <v>0</v>
      </c>
      <c r="AA42" s="619" t="str">
        <f t="shared" si="15"/>
        <v>0</v>
      </c>
      <c r="AB42" s="588"/>
      <c r="AC42" s="588">
        <f>IF((G42="cocontractant"),T42,"0")</f>
        <v>0</v>
      </c>
      <c r="AD42" s="1279">
        <f t="shared" si="18"/>
        <v>0</v>
      </c>
      <c r="AE42" s="592"/>
      <c r="AF42" s="1355">
        <f t="shared" si="16"/>
        <v>0</v>
      </c>
      <c r="AG42" s="743">
        <f t="shared" ref="AG42:AG44" si="20">C42</f>
        <v>0</v>
      </c>
      <c r="AH42" s="1262"/>
      <c r="AI42" s="743"/>
      <c r="AJ42" s="603"/>
      <c r="AK42" s="1356">
        <v>0</v>
      </c>
      <c r="AL42" s="715"/>
    </row>
    <row r="43" spans="1:69" ht="14.1" customHeight="1" thickBot="1">
      <c r="A43" s="595" t="s">
        <v>33</v>
      </c>
      <c r="B43" s="1411"/>
      <c r="C43" s="589"/>
      <c r="D43" s="1258"/>
      <c r="E43" s="1943"/>
      <c r="F43" s="1368" t="s">
        <v>1790</v>
      </c>
      <c r="G43" s="596" t="s">
        <v>332</v>
      </c>
      <c r="H43" s="597"/>
      <c r="I43" s="600"/>
      <c r="J43" s="601"/>
      <c r="K43" s="601"/>
      <c r="L43" s="819"/>
      <c r="M43" s="1383"/>
      <c r="N43" s="1387">
        <f t="shared" si="9"/>
        <v>0</v>
      </c>
      <c r="O43" s="625">
        <v>1</v>
      </c>
      <c r="P43" s="758">
        <v>0</v>
      </c>
      <c r="Q43" s="767">
        <f t="shared" si="10"/>
        <v>0</v>
      </c>
      <c r="R43" s="625">
        <v>0.06</v>
      </c>
      <c r="S43" s="1388">
        <f t="shared" si="11"/>
        <v>1</v>
      </c>
      <c r="T43" s="588">
        <f>IF(OR('Val-Départ'!G43="note de crédit",  'Val-Départ'!G43="Marchandise"),"0",PRODUCT(N43,R43,S43))</f>
        <v>0</v>
      </c>
      <c r="U43" s="588" t="str">
        <f>IF(( 'Val-Départ'!G43="Marchandise"),PRODUCT(N43,R43,S43),"0")</f>
        <v>0</v>
      </c>
      <c r="V43" s="588" t="str">
        <f>IF(OR('Val-Départ'!G43="note de crédit"), PRODUCT(N43,R43,S43),"0")</f>
        <v>0</v>
      </c>
      <c r="W43" s="1391">
        <v>0</v>
      </c>
      <c r="X43" s="1474">
        <f t="shared" si="12"/>
        <v>0</v>
      </c>
      <c r="Y43" s="588" t="str">
        <f t="shared" si="19"/>
        <v>0</v>
      </c>
      <c r="Z43" s="588">
        <f t="shared" si="14"/>
        <v>0</v>
      </c>
      <c r="AA43" s="619" t="str">
        <f t="shared" si="15"/>
        <v>0</v>
      </c>
      <c r="AB43" s="588">
        <f>IF((G43="Intracomm."),T43,"0")</f>
        <v>0</v>
      </c>
      <c r="AC43" s="588"/>
      <c r="AD43" s="1279">
        <f t="shared" si="18"/>
        <v>0</v>
      </c>
      <c r="AE43" s="592"/>
      <c r="AF43" s="1355">
        <f t="shared" si="16"/>
        <v>0</v>
      </c>
      <c r="AG43" s="743">
        <f t="shared" si="20"/>
        <v>0</v>
      </c>
      <c r="AH43" s="1262"/>
      <c r="AI43" s="743"/>
      <c r="AJ43" s="603">
        <v>550</v>
      </c>
      <c r="AK43" s="1356">
        <v>0</v>
      </c>
      <c r="AL43" s="168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4"/>
      <c r="BC43" s="4"/>
      <c r="BD43" s="4"/>
      <c r="BE43" s="4"/>
      <c r="BF43" s="4"/>
    </row>
    <row r="44" spans="1:69" ht="14.1" customHeight="1">
      <c r="A44" s="33" t="s">
        <v>34</v>
      </c>
      <c r="B44" s="1411"/>
      <c r="C44" s="589"/>
      <c r="D44" s="1258"/>
      <c r="E44" s="1943"/>
      <c r="F44" s="1369" t="s">
        <v>1770</v>
      </c>
      <c r="G44" s="1328" t="s">
        <v>464</v>
      </c>
      <c r="H44" s="1329"/>
      <c r="I44" s="1330"/>
      <c r="J44" s="766"/>
      <c r="K44" s="766"/>
      <c r="L44" s="1331"/>
      <c r="M44" s="1384"/>
      <c r="N44" s="1389">
        <f t="shared" si="9"/>
        <v>0</v>
      </c>
      <c r="O44" s="776">
        <v>0.21</v>
      </c>
      <c r="P44" s="758">
        <v>0</v>
      </c>
      <c r="Q44" s="767">
        <f t="shared" si="10"/>
        <v>0</v>
      </c>
      <c r="R44" s="776">
        <v>0.21</v>
      </c>
      <c r="S44" s="1388">
        <f t="shared" si="11"/>
        <v>1</v>
      </c>
      <c r="T44" s="588">
        <f>IF(OR('Val-Départ'!G44="note de crédit",  'Val-Départ'!G44="Marchandise"),"0",PRODUCT(N44,R44,S44))</f>
        <v>0</v>
      </c>
      <c r="U44" s="588" t="str">
        <f>IF(( 'Val-Départ'!G44="Marchandise"),PRODUCT(N44,R44,S44),"0")</f>
        <v>0</v>
      </c>
      <c r="V44" s="588" t="str">
        <f>IF(OR('Val-Départ'!G44="note de crédit"), PRODUCT(N44,R44,S44),"0")</f>
        <v>0</v>
      </c>
      <c r="W44" s="1391">
        <v>0</v>
      </c>
      <c r="X44" s="1474">
        <f t="shared" si="12"/>
        <v>0</v>
      </c>
      <c r="Y44" s="588" t="str">
        <f t="shared" si="19"/>
        <v>0</v>
      </c>
      <c r="Z44" s="588">
        <f t="shared" si="14"/>
        <v>0</v>
      </c>
      <c r="AA44" s="1390" t="str">
        <f t="shared" si="15"/>
        <v>0</v>
      </c>
      <c r="AB44" s="777"/>
      <c r="AC44" s="777"/>
      <c r="AD44" s="1332">
        <f t="shared" si="18"/>
        <v>0</v>
      </c>
      <c r="AE44" s="1386"/>
      <c r="AF44" s="1357">
        <f t="shared" si="16"/>
        <v>0</v>
      </c>
      <c r="AG44" s="1333">
        <f t="shared" si="20"/>
        <v>0</v>
      </c>
      <c r="AH44" s="1334"/>
      <c r="AI44" s="1333"/>
      <c r="AJ44" s="778"/>
      <c r="AK44" s="1358">
        <v>0</v>
      </c>
      <c r="AL44" s="4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4"/>
      <c r="BC44" s="4"/>
      <c r="BD44" s="4"/>
      <c r="BE44" s="4"/>
      <c r="BF44" s="4"/>
    </row>
    <row r="45" spans="1:69" ht="14.1" customHeight="1" thickBot="1">
      <c r="A45" s="33" t="s">
        <v>35</v>
      </c>
      <c r="B45" s="1412"/>
      <c r="C45" s="1335"/>
      <c r="D45" s="1336"/>
      <c r="E45" s="1944"/>
      <c r="F45" s="1370"/>
      <c r="G45" s="1371"/>
      <c r="H45" s="1372"/>
      <c r="I45" s="1372"/>
      <c r="J45" s="1373"/>
      <c r="K45" s="1373"/>
      <c r="L45" s="1374"/>
      <c r="M45" s="1385"/>
      <c r="N45" s="1387">
        <f t="shared" si="9"/>
        <v>0</v>
      </c>
      <c r="O45" s="592">
        <v>0.21</v>
      </c>
      <c r="P45" s="757">
        <v>0</v>
      </c>
      <c r="Q45" s="767">
        <f t="shared" si="10"/>
        <v>0</v>
      </c>
      <c r="R45" s="625">
        <v>0</v>
      </c>
      <c r="S45" s="1388">
        <f t="shared" si="11"/>
        <v>1</v>
      </c>
      <c r="T45" s="588">
        <f>IF(OR('Val-Départ'!G46="note de crédit",  'Val-Départ'!G46="Marchandise"),"0",PRODUCT(N45,R45,S45))</f>
        <v>0</v>
      </c>
      <c r="U45" s="588" t="str">
        <f>IF(( 'Val-Départ'!G46="Marchandise"),PRODUCT(N45,R45,S45),"0")</f>
        <v>0</v>
      </c>
      <c r="V45" s="588" t="str">
        <f>IF(OR('Val-Départ'!G46="note de crédit"), PRODUCT(N45,R45,S45),"0")</f>
        <v>0</v>
      </c>
      <c r="W45" s="1391">
        <v>0</v>
      </c>
      <c r="X45" s="1474"/>
      <c r="Y45" s="588" t="str">
        <f>IF((G46="note de crédit"),(N45*R45*S45),"0")</f>
        <v>0</v>
      </c>
      <c r="Z45" s="588">
        <f>IF((G46&lt;&gt;"note de crédit"),SUM(Q45,T45,U45,V45,-AB45,-AC45),"0")</f>
        <v>0</v>
      </c>
      <c r="AA45" s="1309" t="str">
        <f>IF((G46="note de crédit"),SUM(Q45,V45),"0")</f>
        <v>0</v>
      </c>
      <c r="AB45" s="1311"/>
      <c r="AC45" s="1311"/>
      <c r="AD45" s="1314">
        <f t="shared" si="18"/>
        <v>0</v>
      </c>
      <c r="AE45" s="1475"/>
      <c r="AF45" s="1359">
        <f t="shared" si="16"/>
        <v>0</v>
      </c>
      <c r="AG45" s="1327"/>
      <c r="AH45" s="1327"/>
      <c r="AI45" s="1327"/>
      <c r="AJ45" s="1337"/>
      <c r="AK45" s="1360"/>
      <c r="AL45" s="4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4"/>
      <c r="BC45" s="4"/>
      <c r="BD45" s="4"/>
      <c r="BE45" s="4"/>
      <c r="BF45" s="4"/>
      <c r="BG45" s="4"/>
    </row>
    <row r="46" spans="1:69" s="21" customFormat="1" ht="14.1" customHeight="1">
      <c r="A46" s="1338"/>
      <c r="B46" s="1339"/>
      <c r="C46" s="1340"/>
      <c r="D46" s="129">
        <f>SUM(D35:D45)</f>
        <v>2974.7200000000003</v>
      </c>
      <c r="E46" s="129"/>
      <c r="F46" s="130"/>
      <c r="G46" s="1341" t="s">
        <v>28</v>
      </c>
      <c r="H46" s="1340"/>
      <c r="I46" s="1340"/>
      <c r="J46" s="1340"/>
      <c r="K46" s="1340"/>
      <c r="L46" s="1342"/>
      <c r="M46" s="1339"/>
      <c r="N46" s="530">
        <f>SUM(N35:N45)</f>
        <v>2139.35</v>
      </c>
      <c r="Q46" s="1326">
        <f>SUM(Q35:Q45)</f>
        <v>2139.35</v>
      </c>
      <c r="R46" s="1340"/>
      <c r="S46" s="1340"/>
      <c r="T46" s="1343">
        <f>SUM(T35:T45)</f>
        <v>156.1728</v>
      </c>
      <c r="U46" s="1343">
        <f>SUM(U35:U45)</f>
        <v>293.09070000000003</v>
      </c>
      <c r="V46" s="1343">
        <f>SUM(V35:V45)</f>
        <v>0</v>
      </c>
      <c r="W46" s="1340"/>
      <c r="X46" s="1326">
        <f>SUM(X35:X45)</f>
        <v>449.26350000000002</v>
      </c>
      <c r="Y46" s="1343">
        <f>SUM(Y35:Y45)</f>
        <v>0</v>
      </c>
      <c r="Z46" s="1326">
        <f>SUM(Z35:Z45)</f>
        <v>2588.6134999999999</v>
      </c>
      <c r="AA46" s="1326">
        <f>SUM(AA35:AA45)</f>
        <v>0</v>
      </c>
      <c r="AB46" s="1326">
        <f t="shared" ref="AB46:AD46" si="21">SUM(AB35:AB45)</f>
        <v>0</v>
      </c>
      <c r="AC46" s="1326">
        <f t="shared" si="21"/>
        <v>0</v>
      </c>
      <c r="AD46" s="1326">
        <f t="shared" si="21"/>
        <v>2588.61</v>
      </c>
      <c r="AE46" s="1340"/>
      <c r="AF46" s="1340"/>
      <c r="AG46" s="1340"/>
      <c r="AH46" s="1340"/>
      <c r="AI46" s="1340"/>
      <c r="AJ46" s="1340"/>
      <c r="AK46" s="1326">
        <f>SUM(AK35:AK45)</f>
        <v>2588.61</v>
      </c>
      <c r="AL46" s="762"/>
      <c r="AM46" s="763"/>
      <c r="AO46" s="763"/>
      <c r="AP46" s="530"/>
      <c r="AQ46" s="530"/>
      <c r="AR46" s="747"/>
      <c r="AS46" s="747"/>
      <c r="AT46" s="764"/>
      <c r="AU46" s="20"/>
      <c r="AV46" s="530"/>
    </row>
    <row r="47" spans="1:69" s="21" customFormat="1" ht="14.1" customHeight="1" thickBot="1">
      <c r="A47" s="779"/>
      <c r="B47" s="1593" t="s">
        <v>1835</v>
      </c>
      <c r="C47" s="1594"/>
      <c r="D47" s="1595"/>
      <c r="E47" s="1941"/>
      <c r="F47" s="780"/>
      <c r="G47" s="781"/>
      <c r="H47" s="1593" t="s">
        <v>1835</v>
      </c>
      <c r="I47" s="1594"/>
      <c r="J47" s="1594"/>
      <c r="K47" s="1594"/>
      <c r="L47" s="1594"/>
      <c r="M47" s="1595"/>
      <c r="N47" s="747"/>
      <c r="O47" s="747"/>
      <c r="P47" s="747"/>
      <c r="Q47" s="747"/>
      <c r="R47" s="747"/>
      <c r="S47" s="747"/>
      <c r="T47" s="747"/>
      <c r="U47" s="747"/>
      <c r="V47" s="747"/>
      <c r="W47" s="747"/>
      <c r="X47" s="747"/>
      <c r="Y47" s="747"/>
      <c r="Z47" s="530"/>
      <c r="AA47" s="20"/>
      <c r="AB47" s="20"/>
      <c r="AC47" s="20"/>
      <c r="AD47" s="530"/>
      <c r="AE47" s="530"/>
      <c r="AF47" s="530"/>
      <c r="AG47" s="530"/>
      <c r="AH47" s="747"/>
      <c r="AI47" s="747"/>
      <c r="AJ47" s="765"/>
      <c r="AK47" s="1424" t="s">
        <v>1836</v>
      </c>
      <c r="AL47" s="20"/>
      <c r="AM47" s="530"/>
    </row>
    <row r="48" spans="1:69" s="21" customFormat="1" ht="15" customHeight="1" thickTop="1">
      <c r="A48" s="747"/>
      <c r="B48" s="747"/>
      <c r="C48" s="782"/>
      <c r="D48" s="783"/>
      <c r="E48" s="783"/>
      <c r="F48" s="760"/>
      <c r="G48" s="547"/>
      <c r="H48" s="547"/>
      <c r="I48" s="547"/>
      <c r="J48" s="530"/>
      <c r="K48" s="530"/>
      <c r="L48" s="762"/>
      <c r="M48" s="784"/>
      <c r="N48" s="1635" t="s">
        <v>1567</v>
      </c>
      <c r="O48" s="1635"/>
      <c r="P48" s="1635"/>
      <c r="Q48" s="530"/>
      <c r="R48" s="1592" t="s">
        <v>491</v>
      </c>
      <c r="S48" s="1592"/>
      <c r="T48" s="1425">
        <f>SUM(T46:U46)</f>
        <v>449.26350000000002</v>
      </c>
      <c r="U48" s="1426" t="s">
        <v>493</v>
      </c>
      <c r="V48" s="1426">
        <f>V46</f>
        <v>0</v>
      </c>
      <c r="W48" s="793"/>
      <c r="X48" s="795"/>
      <c r="Y48" s="795"/>
      <c r="AA48" s="1345"/>
      <c r="AB48" s="661"/>
      <c r="AC48" s="785"/>
      <c r="AD48" s="786"/>
      <c r="AE48" s="786"/>
      <c r="AF48" s="786"/>
      <c r="AG48" s="786"/>
    </row>
    <row r="49" spans="1:24" s="21" customFormat="1" ht="14.1" customHeight="1">
      <c r="A49" s="447"/>
      <c r="B49" s="447"/>
      <c r="C49" s="447"/>
      <c r="D49" s="447"/>
      <c r="E49" s="1565"/>
      <c r="F49" s="760"/>
      <c r="G49" s="787"/>
      <c r="H49" s="787"/>
      <c r="I49" s="787"/>
      <c r="J49" s="787"/>
      <c r="K49" s="787"/>
      <c r="L49" s="820"/>
      <c r="M49" s="789"/>
      <c r="N49" s="788"/>
      <c r="O49" s="788"/>
      <c r="P49" s="790"/>
      <c r="Q49" s="790"/>
      <c r="R49" s="796" t="s">
        <v>492</v>
      </c>
      <c r="S49" s="789"/>
      <c r="V49" s="796"/>
      <c r="W49" s="796"/>
    </row>
    <row r="50" spans="1:24" ht="14.1" customHeight="1">
      <c r="A50" s="5"/>
      <c r="B50" s="5"/>
      <c r="C50" s="5"/>
      <c r="D50" s="5"/>
      <c r="E50" s="5"/>
      <c r="F50" s="28"/>
      <c r="G50" s="5"/>
      <c r="H50" s="29"/>
      <c r="I50" s="29"/>
      <c r="J50" s="5"/>
      <c r="K50" s="5"/>
      <c r="L50" s="1616"/>
      <c r="M50" s="1616"/>
      <c r="N50" s="1616"/>
      <c r="O50" s="1616"/>
      <c r="P50" s="135"/>
      <c r="Q50" s="30"/>
      <c r="R50" s="5"/>
      <c r="S50" s="5"/>
      <c r="T50" s="5"/>
      <c r="U50" s="5"/>
      <c r="V50" s="5"/>
      <c r="W50" s="31"/>
      <c r="X50" s="166"/>
    </row>
    <row r="51" spans="1:24" ht="14.1" customHeight="1">
      <c r="A51" s="5"/>
      <c r="B51" s="5"/>
      <c r="C51" s="5"/>
      <c r="D51" s="5"/>
      <c r="E51" s="5"/>
      <c r="F51" s="28"/>
      <c r="G51" s="5"/>
      <c r="H51" s="29"/>
      <c r="I51" s="29"/>
      <c r="J51" s="5"/>
      <c r="K51" s="5"/>
      <c r="L51" s="564"/>
      <c r="M51" s="538"/>
      <c r="N51" s="435"/>
      <c r="O51" s="435"/>
      <c r="P51" s="435"/>
      <c r="Q51" s="30"/>
      <c r="R51" s="5"/>
      <c r="S51" s="5"/>
      <c r="T51" s="800"/>
      <c r="U51" s="801"/>
      <c r="V51" s="5"/>
      <c r="W51" s="31"/>
      <c r="X51" s="166"/>
    </row>
    <row r="52" spans="1:24" ht="14.1" customHeight="1">
      <c r="A52" s="5"/>
      <c r="B52" s="1596" t="s">
        <v>368</v>
      </c>
      <c r="C52" s="1596"/>
      <c r="D52" s="1596"/>
      <c r="E52" s="1566"/>
      <c r="F52" s="28"/>
      <c r="G52" s="5"/>
      <c r="H52" s="29"/>
      <c r="I52" s="29"/>
      <c r="J52" s="5"/>
      <c r="K52" s="5"/>
      <c r="L52" s="564"/>
      <c r="M52" s="538"/>
      <c r="N52" s="435"/>
      <c r="O52" s="435"/>
      <c r="P52" s="435"/>
      <c r="Q52" s="30"/>
      <c r="R52" s="5"/>
      <c r="S52" s="5"/>
      <c r="T52" s="804"/>
      <c r="U52" s="5"/>
      <c r="V52" s="5"/>
      <c r="W52" s="31"/>
      <c r="X52" s="166"/>
    </row>
    <row r="53" spans="1:24" ht="14.1" customHeight="1">
      <c r="A53" s="5"/>
      <c r="B53" s="5" t="s">
        <v>55</v>
      </c>
      <c r="C53" s="5" t="s">
        <v>369</v>
      </c>
      <c r="D53" s="5" t="s">
        <v>370</v>
      </c>
      <c r="E53" s="5"/>
      <c r="F53" s="28"/>
      <c r="G53" s="5"/>
      <c r="H53" s="29"/>
      <c r="I53" s="29"/>
      <c r="J53" s="5"/>
      <c r="K53" s="5"/>
      <c r="L53" s="564"/>
      <c r="M53" s="538"/>
      <c r="N53" s="435"/>
      <c r="O53" s="435"/>
      <c r="P53" s="435"/>
      <c r="Q53" s="30"/>
      <c r="R53" s="5"/>
      <c r="S53" s="5"/>
      <c r="T53" s="5"/>
      <c r="U53" s="5"/>
      <c r="V53" s="5"/>
      <c r="W53" s="31"/>
      <c r="X53" s="166"/>
    </row>
    <row r="54" spans="1:24" ht="14.1" customHeight="1">
      <c r="A54" s="5"/>
      <c r="B54" s="445">
        <v>42055</v>
      </c>
      <c r="C54" s="5">
        <v>2015</v>
      </c>
      <c r="D54" s="167" t="s">
        <v>372</v>
      </c>
      <c r="E54" s="167"/>
      <c r="F54" s="466">
        <v>150</v>
      </c>
      <c r="G54" s="5"/>
      <c r="H54" s="29"/>
      <c r="I54" s="29"/>
      <c r="J54" s="5"/>
      <c r="K54" s="5"/>
      <c r="L54" s="564"/>
      <c r="M54" s="538"/>
      <c r="N54" s="435"/>
      <c r="O54" s="435"/>
      <c r="P54" s="435"/>
      <c r="Q54" s="30"/>
      <c r="R54" s="5"/>
      <c r="S54" s="5"/>
      <c r="T54" s="5"/>
      <c r="U54" s="5"/>
      <c r="V54" s="5"/>
      <c r="W54" s="31"/>
      <c r="X54" s="166"/>
    </row>
    <row r="55" spans="1:24" ht="14.1" customHeight="1">
      <c r="A55" s="5"/>
      <c r="B55" s="445">
        <v>42083</v>
      </c>
      <c r="C55" s="5">
        <v>2015</v>
      </c>
      <c r="D55" s="167" t="s">
        <v>372</v>
      </c>
      <c r="E55" s="167"/>
      <c r="F55" s="466">
        <v>150</v>
      </c>
      <c r="G55" s="5"/>
      <c r="H55" s="29"/>
      <c r="I55" s="29"/>
      <c r="J55" s="5"/>
      <c r="K55" s="5"/>
      <c r="L55" s="564"/>
      <c r="M55" s="538"/>
      <c r="N55" s="435"/>
      <c r="O55" s="435"/>
      <c r="P55" s="435"/>
      <c r="Q55" s="30"/>
      <c r="R55" s="5"/>
      <c r="S55" s="5"/>
      <c r="T55" s="5"/>
      <c r="U55" s="5"/>
      <c r="V55" s="5"/>
      <c r="W55" s="31"/>
      <c r="X55" s="166"/>
    </row>
    <row r="56" spans="1:24" ht="14.1" customHeight="1" thickBot="1">
      <c r="A56" s="5"/>
      <c r="B56" s="463"/>
      <c r="C56" s="464"/>
      <c r="D56" s="465"/>
      <c r="E56" s="465"/>
      <c r="F56" s="467">
        <v>0</v>
      </c>
      <c r="G56" s="5"/>
      <c r="H56" s="29"/>
      <c r="I56" s="29"/>
      <c r="J56" s="5"/>
      <c r="K56" s="5"/>
      <c r="L56" s="564"/>
      <c r="M56" s="538"/>
      <c r="N56" s="435"/>
      <c r="O56" s="435"/>
      <c r="P56" s="435"/>
      <c r="Q56" s="30"/>
      <c r="R56" s="5"/>
      <c r="S56" s="5"/>
      <c r="T56" s="5"/>
      <c r="U56" s="5"/>
      <c r="V56" s="5"/>
      <c r="W56" s="31"/>
      <c r="X56" s="166"/>
    </row>
    <row r="57" spans="1:24" ht="14.1" customHeight="1">
      <c r="A57" s="5"/>
      <c r="B57" s="445"/>
      <c r="C57" s="5"/>
      <c r="D57" s="167"/>
      <c r="E57" s="167"/>
      <c r="F57" s="466">
        <f>SUM(F54:F56)</f>
        <v>300</v>
      </c>
      <c r="G57" s="5"/>
      <c r="H57" s="29"/>
      <c r="I57" s="29"/>
      <c r="J57" s="5"/>
      <c r="K57" s="5"/>
      <c r="L57" s="564"/>
      <c r="M57" s="538"/>
      <c r="N57" s="435"/>
      <c r="O57" s="435"/>
      <c r="P57" s="435"/>
      <c r="Q57" s="30"/>
      <c r="R57" s="5"/>
      <c r="S57" s="5"/>
      <c r="T57" s="5"/>
      <c r="U57" s="5"/>
      <c r="V57" s="5"/>
      <c r="W57" s="31"/>
      <c r="X57" s="166"/>
    </row>
    <row r="58" spans="1:24" ht="14.1" customHeight="1">
      <c r="A58" s="5"/>
      <c r="B58" s="445"/>
      <c r="C58" s="5"/>
      <c r="D58" s="167"/>
      <c r="E58" s="167"/>
      <c r="F58" s="28"/>
      <c r="G58" s="5"/>
      <c r="H58" s="29"/>
      <c r="I58" s="29"/>
      <c r="J58" s="5"/>
      <c r="K58" s="5"/>
      <c r="L58" s="564"/>
      <c r="M58" s="538"/>
      <c r="N58" s="435"/>
      <c r="O58" s="435"/>
      <c r="P58" s="435"/>
      <c r="Q58" s="30"/>
      <c r="R58" s="5"/>
      <c r="S58" s="5"/>
      <c r="T58" s="5"/>
      <c r="U58" s="5"/>
      <c r="V58" s="5"/>
      <c r="W58" s="31"/>
      <c r="X58" s="166"/>
    </row>
    <row r="59" spans="1:24">
      <c r="C59" s="4"/>
      <c r="D59" s="135"/>
      <c r="E59" s="1564"/>
      <c r="F59" s="169"/>
      <c r="G59" s="1616" t="s">
        <v>231</v>
      </c>
      <c r="H59" s="1616"/>
      <c r="I59" s="1616"/>
      <c r="J59" s="1616"/>
      <c r="K59" s="1616"/>
      <c r="L59" s="1616"/>
      <c r="M59" s="1616"/>
      <c r="N59" s="1616"/>
      <c r="O59" s="1616"/>
      <c r="P59" s="1616"/>
      <c r="Q59" s="1616"/>
      <c r="R59" s="4"/>
      <c r="S59" s="4"/>
      <c r="T59" s="4"/>
      <c r="U59" s="135"/>
      <c r="V59" s="135"/>
      <c r="W59" s="31"/>
    </row>
    <row r="60" spans="1:24">
      <c r="C60" s="4"/>
      <c r="D60" s="135"/>
      <c r="E60" s="1564"/>
      <c r="F60" s="169"/>
      <c r="G60" s="4"/>
      <c r="H60" s="4"/>
      <c r="I60" s="4"/>
      <c r="J60" s="4"/>
      <c r="K60" s="4"/>
      <c r="L60" s="821"/>
      <c r="M60" s="538"/>
      <c r="N60" s="4"/>
      <c r="O60" s="4"/>
      <c r="P60" s="4"/>
      <c r="Q60" s="4"/>
      <c r="R60" s="4"/>
      <c r="S60" s="4"/>
      <c r="T60" s="4"/>
      <c r="U60" s="135"/>
      <c r="V60" s="135"/>
      <c r="W60" s="31"/>
    </row>
    <row r="61" spans="1:24">
      <c r="C61" s="4"/>
      <c r="D61" s="135"/>
      <c r="E61" s="1564"/>
      <c r="F61" s="169"/>
      <c r="G61" s="1616" t="s">
        <v>232</v>
      </c>
      <c r="H61" s="1616"/>
      <c r="I61" s="1616"/>
      <c r="J61" s="1616"/>
      <c r="K61" s="1616"/>
      <c r="L61" s="1616"/>
      <c r="M61" s="1616"/>
      <c r="N61" s="1616"/>
      <c r="O61" s="1616"/>
      <c r="P61" s="1616"/>
      <c r="Q61" s="1616"/>
      <c r="R61" s="1616"/>
      <c r="S61" s="1616"/>
      <c r="T61" s="1616"/>
      <c r="U61" s="1616"/>
      <c r="V61" s="135"/>
      <c r="W61" s="31"/>
    </row>
    <row r="62" spans="1:24">
      <c r="C62" s="4"/>
      <c r="D62" s="135"/>
      <c r="E62" s="1564"/>
      <c r="F62" s="169"/>
      <c r="G62" s="4"/>
      <c r="H62" s="4"/>
      <c r="I62" s="4"/>
      <c r="J62" s="4"/>
      <c r="K62" s="4"/>
      <c r="L62" s="821"/>
      <c r="M62" s="538"/>
      <c r="N62" s="4"/>
      <c r="O62" s="4"/>
      <c r="P62" s="4"/>
      <c r="Q62" s="4"/>
      <c r="R62" s="4"/>
      <c r="S62" s="4"/>
      <c r="T62" s="4"/>
      <c r="U62" s="135"/>
      <c r="V62" s="135"/>
      <c r="W62" s="31"/>
    </row>
    <row r="63" spans="1:24">
      <c r="C63" s="4"/>
      <c r="D63" s="135"/>
      <c r="E63" s="1564"/>
      <c r="F63" s="169"/>
      <c r="G63" s="4"/>
      <c r="H63" s="4"/>
      <c r="I63" s="4"/>
      <c r="J63" s="4"/>
      <c r="K63" s="4"/>
      <c r="L63" s="821"/>
      <c r="M63" s="538"/>
      <c r="N63" s="4"/>
      <c r="O63" s="4"/>
      <c r="P63" s="4"/>
      <c r="Q63" s="4"/>
      <c r="R63" s="4"/>
      <c r="S63" s="4"/>
      <c r="T63" s="4"/>
      <c r="U63" s="135"/>
      <c r="V63" s="135"/>
      <c r="W63" s="31"/>
    </row>
    <row r="64" spans="1:24">
      <c r="C64" s="4"/>
      <c r="D64" s="135"/>
      <c r="E64" s="1564"/>
      <c r="F64" s="169"/>
      <c r="G64" s="4"/>
      <c r="H64" s="4"/>
      <c r="I64" s="4"/>
      <c r="J64" s="4"/>
      <c r="K64" s="4"/>
      <c r="L64" s="821"/>
      <c r="M64" s="538"/>
      <c r="N64" s="4"/>
      <c r="O64" s="4"/>
      <c r="P64" s="4"/>
      <c r="Q64" s="4"/>
      <c r="R64" s="4"/>
      <c r="S64" s="4"/>
      <c r="T64" s="4"/>
      <c r="U64" s="135"/>
      <c r="V64" s="135"/>
      <c r="W64" s="31"/>
    </row>
    <row r="65" spans="1:23">
      <c r="A65" s="4"/>
      <c r="B65" s="1621" t="s">
        <v>233</v>
      </c>
      <c r="C65" s="1622"/>
      <c r="D65" s="1622"/>
      <c r="E65" s="1622"/>
      <c r="F65" s="1622"/>
      <c r="G65" s="1622"/>
      <c r="H65" s="1622"/>
      <c r="I65" s="1622"/>
      <c r="J65" s="1622"/>
      <c r="K65" s="1622"/>
      <c r="L65" s="1622"/>
      <c r="M65" s="1622"/>
      <c r="N65" s="1622"/>
      <c r="O65" s="1622"/>
      <c r="P65" s="1622"/>
      <c r="Q65" s="1622"/>
      <c r="R65" s="1622"/>
      <c r="S65" s="1622"/>
      <c r="T65" s="1622"/>
      <c r="U65" s="1622"/>
      <c r="V65" s="135"/>
      <c r="W65" s="4"/>
    </row>
    <row r="66" spans="1:23">
      <c r="A66" s="4"/>
      <c r="C66" s="4"/>
      <c r="D66" s="135"/>
      <c r="E66" s="1564"/>
      <c r="F66" s="169"/>
      <c r="G66" s="4"/>
      <c r="H66" s="4"/>
      <c r="I66" s="4"/>
      <c r="J66" s="4"/>
      <c r="K66" s="4"/>
      <c r="L66" s="821"/>
      <c r="M66" s="538"/>
      <c r="N66" s="4"/>
      <c r="O66" s="4"/>
      <c r="P66" s="4"/>
      <c r="Q66" s="4"/>
      <c r="R66" s="4"/>
      <c r="S66" s="4"/>
      <c r="T66" s="4"/>
      <c r="U66" s="135"/>
      <c r="V66" s="135"/>
      <c r="W66" s="4"/>
    </row>
    <row r="67" spans="1:23">
      <c r="A67" s="4"/>
      <c r="B67" s="1" t="s">
        <v>234</v>
      </c>
      <c r="C67" s="2"/>
      <c r="D67" s="133"/>
      <c r="E67" s="1569"/>
      <c r="F67" s="170"/>
      <c r="G67" s="2"/>
      <c r="H67" s="2"/>
      <c r="I67" s="2"/>
      <c r="J67" s="2"/>
      <c r="K67" s="2"/>
      <c r="L67" s="822"/>
      <c r="M67" s="537"/>
      <c r="N67" s="105"/>
      <c r="O67" s="4"/>
      <c r="P67" s="4"/>
      <c r="Q67" s="4"/>
      <c r="R67" s="4"/>
      <c r="S67" s="4"/>
      <c r="T67" s="4"/>
      <c r="U67" s="135"/>
      <c r="V67" s="135"/>
      <c r="W67" s="4"/>
    </row>
    <row r="68" spans="1:23">
      <c r="A68" s="4"/>
      <c r="B68" s="1615" t="s">
        <v>231</v>
      </c>
      <c r="C68" s="1616"/>
      <c r="D68" s="1616"/>
      <c r="E68" s="1616"/>
      <c r="F68" s="1616"/>
      <c r="G68" s="1616"/>
      <c r="H68" s="1616"/>
      <c r="I68" s="1616"/>
      <c r="J68" s="1616"/>
      <c r="K68" s="383"/>
      <c r="L68" s="564"/>
      <c r="M68" s="538"/>
      <c r="N68" s="106"/>
      <c r="O68" s="4"/>
      <c r="P68" s="4"/>
      <c r="Q68" s="4"/>
      <c r="R68" s="4"/>
      <c r="S68" s="4"/>
      <c r="T68" s="4"/>
      <c r="U68" s="135"/>
      <c r="V68" s="135"/>
      <c r="W68" s="4"/>
    </row>
    <row r="69" spans="1:23">
      <c r="A69" s="4"/>
      <c r="B69" s="136"/>
      <c r="C69" s="135"/>
      <c r="D69" s="135"/>
      <c r="E69" s="1564"/>
      <c r="F69" s="169"/>
      <c r="G69" s="135"/>
      <c r="H69" s="135"/>
      <c r="I69" s="383"/>
      <c r="J69" s="135"/>
      <c r="K69" s="383"/>
      <c r="L69" s="564"/>
      <c r="M69" s="538"/>
      <c r="N69" s="106"/>
      <c r="O69" s="4"/>
      <c r="P69" s="4"/>
      <c r="Q69" s="4"/>
      <c r="R69" s="4"/>
      <c r="S69" s="4"/>
      <c r="T69" s="4"/>
      <c r="U69" s="135"/>
      <c r="V69" s="135"/>
      <c r="W69" s="4"/>
    </row>
    <row r="70" spans="1:23">
      <c r="A70" s="4"/>
      <c r="B70" s="1625" t="s">
        <v>235</v>
      </c>
      <c r="C70" s="1626"/>
      <c r="D70" s="1626"/>
      <c r="E70" s="1626"/>
      <c r="F70" s="1626"/>
      <c r="G70" s="1626"/>
      <c r="H70" s="1626"/>
      <c r="I70" s="1626"/>
      <c r="J70" s="1626"/>
      <c r="K70" s="1626"/>
      <c r="L70" s="1626"/>
      <c r="M70" s="1626"/>
      <c r="N70" s="1627"/>
      <c r="O70" s="4"/>
      <c r="P70" s="4"/>
      <c r="Q70" s="4"/>
      <c r="R70" s="4"/>
      <c r="S70" s="4"/>
      <c r="T70" s="4"/>
      <c r="U70" s="135"/>
      <c r="V70" s="135"/>
      <c r="W70" s="4"/>
    </row>
    <row r="71" spans="1:23">
      <c r="A71" s="4"/>
      <c r="B71" s="1625" t="s">
        <v>236</v>
      </c>
      <c r="C71" s="1626"/>
      <c r="D71" s="1626"/>
      <c r="E71" s="1626"/>
      <c r="F71" s="1626"/>
      <c r="G71" s="1626"/>
      <c r="H71" s="1626"/>
      <c r="I71" s="1626"/>
      <c r="J71" s="1626"/>
      <c r="K71" s="1626"/>
      <c r="L71" s="1626"/>
      <c r="M71" s="1626"/>
      <c r="N71" s="1627"/>
      <c r="O71" s="4"/>
      <c r="P71" s="4"/>
      <c r="Q71" s="4"/>
      <c r="R71" s="4"/>
      <c r="S71" s="4"/>
      <c r="T71" s="4"/>
      <c r="U71" s="135"/>
      <c r="V71" s="135"/>
      <c r="W71" s="4"/>
    </row>
    <row r="72" spans="1:23">
      <c r="A72" s="4"/>
      <c r="B72" s="1625" t="s">
        <v>237</v>
      </c>
      <c r="C72" s="1626"/>
      <c r="D72" s="1626"/>
      <c r="E72" s="1626"/>
      <c r="F72" s="1626"/>
      <c r="G72" s="1626"/>
      <c r="H72" s="1626"/>
      <c r="I72" s="1626"/>
      <c r="J72" s="1626"/>
      <c r="K72" s="1626"/>
      <c r="L72" s="1626"/>
      <c r="M72" s="1626"/>
      <c r="N72" s="1627"/>
      <c r="O72" s="4"/>
      <c r="P72" s="4"/>
      <c r="Q72" s="4"/>
      <c r="R72" s="4"/>
      <c r="S72" s="4"/>
      <c r="T72" s="4"/>
      <c r="U72" s="135"/>
      <c r="V72" s="135"/>
      <c r="W72" s="4"/>
    </row>
    <row r="73" spans="1:23">
      <c r="A73" s="4"/>
      <c r="B73" s="1617" t="s">
        <v>238</v>
      </c>
      <c r="C73" s="1618"/>
      <c r="D73" s="1618"/>
      <c r="E73" s="1618"/>
      <c r="F73" s="1618"/>
      <c r="G73" s="1618"/>
      <c r="H73" s="1618"/>
      <c r="I73" s="1618"/>
      <c r="J73" s="1618"/>
      <c r="K73" s="1618"/>
      <c r="L73" s="1618"/>
      <c r="M73" s="1618"/>
      <c r="N73" s="1619"/>
      <c r="O73" s="4"/>
      <c r="P73" s="4"/>
      <c r="Q73" s="4"/>
      <c r="R73" s="4"/>
      <c r="S73" s="4"/>
      <c r="T73" s="4"/>
      <c r="U73" s="135"/>
      <c r="V73" s="135"/>
      <c r="W73" s="4"/>
    </row>
    <row r="74" spans="1:23">
      <c r="A74" s="4"/>
      <c r="B74" s="1620" t="s">
        <v>239</v>
      </c>
      <c r="C74" s="1620"/>
      <c r="D74" s="1620"/>
      <c r="E74" s="1620"/>
      <c r="F74" s="1620"/>
      <c r="G74" s="1620"/>
      <c r="H74" s="1620"/>
      <c r="I74" s="1620"/>
      <c r="J74" s="1620"/>
      <c r="K74" s="1620"/>
      <c r="L74" s="1620"/>
      <c r="M74" s="1620"/>
      <c r="N74" s="1620"/>
      <c r="O74" s="4"/>
      <c r="P74" s="4"/>
      <c r="Q74" s="4"/>
      <c r="R74" s="4"/>
      <c r="S74" s="4"/>
      <c r="T74" s="4"/>
      <c r="U74" s="135"/>
      <c r="V74" s="135"/>
      <c r="W74" s="4"/>
    </row>
    <row r="75" spans="1:23">
      <c r="A75" s="4"/>
      <c r="C75" s="4"/>
      <c r="D75" s="135"/>
      <c r="E75" s="1564"/>
      <c r="F75" s="169"/>
      <c r="G75" s="4"/>
      <c r="H75" s="4"/>
      <c r="I75" s="4"/>
      <c r="J75" s="4"/>
      <c r="K75" s="4"/>
      <c r="L75" s="821"/>
      <c r="M75" s="538"/>
      <c r="N75" s="4"/>
      <c r="O75" s="4"/>
      <c r="P75" s="4"/>
      <c r="Q75" s="4"/>
      <c r="R75" s="4"/>
      <c r="S75" s="4"/>
      <c r="T75" s="4"/>
      <c r="U75" s="135"/>
      <c r="V75" s="135"/>
      <c r="W75" s="4"/>
    </row>
    <row r="76" spans="1:23">
      <c r="A76" s="4"/>
      <c r="B76" s="1632" t="s">
        <v>240</v>
      </c>
      <c r="C76" s="1633"/>
      <c r="D76" s="1633"/>
      <c r="E76" s="1633"/>
      <c r="F76" s="1633"/>
      <c r="G76" s="1633"/>
      <c r="H76" s="1633"/>
      <c r="I76" s="1633"/>
      <c r="J76" s="1633"/>
      <c r="K76" s="1633"/>
      <c r="L76" s="1633"/>
      <c r="M76" s="1633"/>
      <c r="N76" s="1633"/>
      <c r="O76" s="1634"/>
      <c r="P76" s="138"/>
      <c r="Q76" s="138"/>
      <c r="R76" s="4"/>
      <c r="S76" s="4"/>
      <c r="T76" s="4"/>
      <c r="U76" s="135"/>
      <c r="V76" s="135"/>
      <c r="W76" s="4"/>
    </row>
    <row r="77" spans="1:23">
      <c r="A77" s="4"/>
      <c r="B77" s="1617" t="s">
        <v>241</v>
      </c>
      <c r="C77" s="1618"/>
      <c r="D77" s="1618"/>
      <c r="E77" s="1618"/>
      <c r="F77" s="1618"/>
      <c r="G77" s="1618"/>
      <c r="H77" s="1618"/>
      <c r="I77" s="1618"/>
      <c r="J77" s="1618"/>
      <c r="K77" s="1618"/>
      <c r="L77" s="1618"/>
      <c r="M77" s="1618"/>
      <c r="N77" s="1618"/>
      <c r="O77" s="1619"/>
      <c r="P77" s="138"/>
      <c r="Q77" s="138"/>
      <c r="R77" s="139"/>
      <c r="S77" s="139"/>
      <c r="T77" s="139"/>
      <c r="U77" s="135"/>
      <c r="V77" s="135"/>
      <c r="W77" s="4"/>
    </row>
    <row r="78" spans="1:23">
      <c r="A78" s="4"/>
      <c r="B78" s="1624"/>
      <c r="C78" s="1624"/>
      <c r="D78" s="1624"/>
      <c r="E78" s="1624"/>
      <c r="F78" s="1624"/>
      <c r="G78" s="1624"/>
      <c r="H78" s="1624"/>
      <c r="I78" s="1624"/>
      <c r="J78" s="1624"/>
      <c r="K78" s="1624"/>
      <c r="L78" s="1624"/>
      <c r="M78" s="1624"/>
      <c r="N78" s="1624"/>
      <c r="O78" s="4"/>
      <c r="P78" s="4"/>
      <c r="Q78" s="4"/>
      <c r="R78" s="4"/>
      <c r="S78" s="4"/>
      <c r="T78" s="4"/>
      <c r="U78" s="135"/>
      <c r="V78" s="135"/>
      <c r="W78" s="4"/>
    </row>
    <row r="79" spans="1:23">
      <c r="A79" s="4"/>
      <c r="B79" s="1611" t="s">
        <v>242</v>
      </c>
      <c r="C79" s="1612"/>
      <c r="D79" s="1612"/>
      <c r="E79" s="1612"/>
      <c r="F79" s="1612"/>
      <c r="G79" s="1612"/>
      <c r="H79" s="1612"/>
      <c r="I79" s="1612"/>
      <c r="J79" s="1612"/>
      <c r="K79" s="1612"/>
      <c r="L79" s="1612"/>
      <c r="M79" s="1612"/>
      <c r="N79" s="1612"/>
      <c r="O79" s="1613"/>
      <c r="P79" s="138"/>
      <c r="Q79" s="137"/>
      <c r="R79" s="139"/>
      <c r="S79" s="139"/>
      <c r="T79" s="139"/>
      <c r="U79" s="139"/>
      <c r="V79" s="135"/>
      <c r="W79" s="4"/>
    </row>
    <row r="80" spans="1:23">
      <c r="A80" s="4"/>
      <c r="C80" s="4"/>
      <c r="D80" s="135"/>
      <c r="E80" s="1564"/>
      <c r="F80" s="169"/>
      <c r="G80" s="4"/>
      <c r="H80" s="4"/>
      <c r="I80" s="4"/>
      <c r="J80" s="4"/>
      <c r="K80" s="4"/>
      <c r="L80" s="821"/>
      <c r="M80" s="538"/>
      <c r="N80" s="4"/>
      <c r="O80" s="4"/>
      <c r="P80" s="4"/>
      <c r="Q80" s="4"/>
      <c r="R80" s="4"/>
      <c r="S80" s="4"/>
      <c r="T80" s="4"/>
      <c r="U80" s="135"/>
      <c r="V80" s="135"/>
      <c r="W80" s="4"/>
    </row>
    <row r="81" spans="1:29">
      <c r="A81" s="4"/>
      <c r="B81" s="1623" t="s">
        <v>243</v>
      </c>
      <c r="C81" s="1623"/>
      <c r="D81" s="1623"/>
      <c r="E81" s="1623"/>
      <c r="F81" s="1623"/>
      <c r="G81" s="1623"/>
      <c r="H81" s="1623"/>
      <c r="I81" s="1623"/>
      <c r="J81" s="1623"/>
      <c r="K81" s="1623"/>
      <c r="L81" s="1623"/>
      <c r="M81" s="1623"/>
      <c r="N81" s="1623"/>
      <c r="O81" s="1623"/>
      <c r="P81" s="173"/>
      <c r="Q81" s="173"/>
      <c r="R81" s="75"/>
      <c r="S81" s="75"/>
      <c r="T81" s="75"/>
      <c r="U81" s="75"/>
      <c r="V81" s="135"/>
      <c r="W81" s="4"/>
    </row>
    <row r="82" spans="1:29">
      <c r="A82" s="4"/>
      <c r="C82" s="4"/>
      <c r="D82" s="135"/>
      <c r="E82" s="1564"/>
      <c r="F82" s="169"/>
      <c r="G82" s="4"/>
      <c r="H82" s="4"/>
      <c r="I82" s="4"/>
      <c r="J82" s="4"/>
      <c r="K82" s="4"/>
      <c r="L82" s="821"/>
      <c r="M82" s="538"/>
      <c r="N82" s="4"/>
      <c r="O82" s="4"/>
      <c r="P82" s="4"/>
      <c r="Q82" s="4"/>
      <c r="R82" s="4"/>
      <c r="S82" s="4"/>
      <c r="T82" s="4"/>
      <c r="U82" s="135"/>
      <c r="V82" s="135"/>
      <c r="W82" s="4"/>
    </row>
    <row r="83" spans="1:29">
      <c r="A83" s="4"/>
      <c r="B83" s="1611" t="s">
        <v>244</v>
      </c>
      <c r="C83" s="1612"/>
      <c r="D83" s="1612"/>
      <c r="E83" s="1612"/>
      <c r="F83" s="1612"/>
      <c r="G83" s="1612"/>
      <c r="H83" s="1612"/>
      <c r="I83" s="1612"/>
      <c r="J83" s="1612"/>
      <c r="K83" s="1612"/>
      <c r="L83" s="1612"/>
      <c r="M83" s="1612"/>
      <c r="N83" s="1612"/>
      <c r="O83" s="1613"/>
      <c r="P83" s="138"/>
      <c r="Q83" s="138"/>
      <c r="R83" s="4"/>
      <c r="S83" s="4"/>
      <c r="T83" s="4"/>
      <c r="U83" s="135"/>
      <c r="V83" s="135"/>
      <c r="W83" s="4"/>
    </row>
    <row r="84" spans="1:29">
      <c r="A84" s="4"/>
      <c r="C84" s="4"/>
      <c r="D84" s="135"/>
      <c r="E84" s="1564"/>
      <c r="F84" s="169"/>
      <c r="G84" s="4"/>
      <c r="H84" s="4"/>
      <c r="I84" s="4"/>
      <c r="J84" s="4"/>
      <c r="K84" s="4"/>
      <c r="L84" s="821"/>
      <c r="M84" s="538"/>
      <c r="N84" s="4"/>
      <c r="O84" s="4"/>
      <c r="P84" s="4"/>
      <c r="Q84" s="4"/>
      <c r="R84" s="4"/>
      <c r="S84" s="4"/>
      <c r="T84" s="4"/>
      <c r="U84" s="135"/>
      <c r="V84" s="135"/>
      <c r="W84" s="4"/>
    </row>
    <row r="85" spans="1:29">
      <c r="A85" s="4"/>
      <c r="C85" s="4"/>
      <c r="D85" s="135"/>
      <c r="E85" s="1564"/>
      <c r="F85" s="169"/>
      <c r="G85" s="4"/>
      <c r="H85" s="4"/>
      <c r="I85" s="4"/>
      <c r="J85" s="4"/>
      <c r="K85" s="4"/>
      <c r="L85" s="821"/>
      <c r="M85" s="538"/>
      <c r="N85" s="4"/>
      <c r="O85" s="4"/>
      <c r="P85" s="4"/>
      <c r="Q85" s="4"/>
      <c r="R85" s="4"/>
      <c r="S85" s="4"/>
      <c r="T85" s="4"/>
      <c r="U85" s="135"/>
      <c r="V85" s="135"/>
      <c r="W85" s="4"/>
    </row>
    <row r="86" spans="1:29">
      <c r="B86" s="1614" t="s">
        <v>245</v>
      </c>
      <c r="C86" s="1614"/>
      <c r="D86" s="1614"/>
      <c r="E86" s="1614"/>
      <c r="F86" s="1614"/>
      <c r="G86" s="1614"/>
      <c r="H86" s="1614"/>
      <c r="I86" s="1614"/>
      <c r="J86" s="1614"/>
      <c r="K86" s="1614"/>
      <c r="L86" s="1614"/>
      <c r="M86" s="1614"/>
      <c r="N86" s="1614"/>
      <c r="O86" s="1614"/>
      <c r="P86" s="1614"/>
      <c r="Q86" s="1614"/>
      <c r="R86" s="1614"/>
      <c r="S86" s="1614"/>
      <c r="T86" s="1614"/>
      <c r="U86" s="1614"/>
      <c r="V86" s="1614"/>
      <c r="W86" s="1614"/>
      <c r="X86" s="1614"/>
      <c r="Y86" s="1614"/>
      <c r="Z86" s="1614"/>
      <c r="AA86" s="1614"/>
      <c r="AB86" s="1614"/>
      <c r="AC86" s="1614"/>
    </row>
    <row r="87" spans="1:29">
      <c r="B87" s="174"/>
      <c r="C87" s="174"/>
      <c r="D87" s="174"/>
      <c r="E87" s="1568"/>
      <c r="F87" s="175"/>
      <c r="G87" s="174"/>
      <c r="H87" s="174"/>
      <c r="I87" s="384"/>
      <c r="J87" s="174"/>
      <c r="K87" s="384"/>
      <c r="L87" s="823"/>
      <c r="M87" s="540"/>
      <c r="N87" s="174"/>
      <c r="O87" s="174"/>
      <c r="P87" s="174"/>
      <c r="Q87" s="174"/>
      <c r="R87" s="174"/>
      <c r="S87" s="174"/>
      <c r="T87" s="174"/>
      <c r="U87" s="174"/>
      <c r="V87" s="174"/>
      <c r="W87" s="174"/>
      <c r="X87" s="174"/>
      <c r="Y87" s="174"/>
      <c r="Z87" s="174"/>
      <c r="AA87" s="174"/>
      <c r="AB87" s="174"/>
      <c r="AC87" s="174"/>
    </row>
    <row r="88" spans="1:29">
      <c r="B88" s="1611" t="s">
        <v>246</v>
      </c>
      <c r="C88" s="1612"/>
      <c r="D88" s="1612"/>
      <c r="E88" s="1612"/>
      <c r="F88" s="1612"/>
      <c r="G88" s="1612"/>
      <c r="H88" s="1612"/>
      <c r="I88" s="1612"/>
      <c r="J88" s="1612"/>
      <c r="K88" s="1612"/>
      <c r="L88" s="1612"/>
      <c r="M88" s="1612"/>
      <c r="N88" s="1612"/>
      <c r="O88" s="1612"/>
      <c r="P88" s="1612"/>
      <c r="Q88" s="1612"/>
      <c r="R88" s="1612"/>
      <c r="S88" s="1612"/>
      <c r="T88" s="1612"/>
      <c r="U88" s="1612"/>
      <c r="V88" s="1612"/>
      <c r="W88" s="1613"/>
    </row>
    <row r="89" spans="1:29">
      <c r="B89" s="1615" t="s">
        <v>247</v>
      </c>
      <c r="C89" s="1616"/>
      <c r="D89" s="1616"/>
      <c r="E89" s="1616"/>
      <c r="F89" s="1616"/>
      <c r="G89" s="1616"/>
      <c r="H89" s="1616"/>
      <c r="I89" s="1616"/>
      <c r="J89" s="1616"/>
      <c r="K89" s="1616"/>
      <c r="L89" s="1616"/>
      <c r="M89" s="1616"/>
      <c r="N89" s="1616"/>
      <c r="O89" s="1616"/>
      <c r="P89" s="1616"/>
      <c r="Q89" s="1616"/>
      <c r="R89" s="1616"/>
      <c r="S89" s="1616"/>
      <c r="T89" s="1616"/>
      <c r="U89" s="1616"/>
      <c r="V89" s="135"/>
      <c r="W89" s="4"/>
    </row>
    <row r="90" spans="1:29">
      <c r="B90" s="3"/>
      <c r="C90" s="4"/>
      <c r="D90" s="135"/>
      <c r="E90" s="1564"/>
      <c r="F90" s="169"/>
      <c r="G90" s="4"/>
      <c r="H90" s="4"/>
      <c r="I90" s="4"/>
      <c r="J90" s="4"/>
      <c r="K90" s="4"/>
      <c r="L90" s="821"/>
      <c r="M90" s="538"/>
      <c r="N90" s="4"/>
      <c r="O90" s="4"/>
      <c r="P90" s="4"/>
      <c r="Q90" s="4"/>
      <c r="R90" s="4"/>
      <c r="S90" s="4"/>
      <c r="T90" s="4"/>
      <c r="U90" s="135"/>
      <c r="V90" s="135"/>
      <c r="W90" s="4"/>
    </row>
    <row r="91" spans="1:29">
      <c r="B91" s="1609" t="s">
        <v>248</v>
      </c>
      <c r="C91" s="1610"/>
      <c r="D91" s="1610"/>
      <c r="E91" s="1610"/>
      <c r="F91" s="1610"/>
      <c r="G91" s="1610"/>
      <c r="H91" s="1610"/>
      <c r="I91" s="1610"/>
      <c r="J91" s="1610"/>
      <c r="K91" s="1610"/>
      <c r="L91" s="1610"/>
      <c r="M91" s="1610"/>
      <c r="N91" s="1610"/>
      <c r="O91" s="140"/>
      <c r="P91" s="140"/>
      <c r="Q91" s="140"/>
      <c r="R91" s="140"/>
      <c r="S91" s="140"/>
      <c r="T91" s="140"/>
      <c r="U91" s="140"/>
      <c r="V91" s="135"/>
      <c r="W91" s="4"/>
    </row>
    <row r="92" spans="1:29">
      <c r="C92" s="4"/>
      <c r="D92" s="135"/>
      <c r="E92" s="1564"/>
      <c r="F92" s="169"/>
      <c r="G92" s="4"/>
      <c r="H92" s="4"/>
      <c r="I92" s="4"/>
      <c r="J92" s="4"/>
      <c r="K92" s="4"/>
      <c r="L92" s="821"/>
      <c r="M92" s="538"/>
      <c r="N92" s="4"/>
      <c r="O92" s="4"/>
      <c r="P92" s="4"/>
      <c r="Q92" s="4"/>
      <c r="R92" s="4"/>
      <c r="S92" s="4"/>
      <c r="T92" s="4"/>
      <c r="U92" s="135"/>
      <c r="V92" s="135"/>
      <c r="W92" s="4"/>
    </row>
    <row r="93" spans="1:29">
      <c r="C93" s="4"/>
      <c r="D93" s="135"/>
      <c r="E93" s="1564"/>
      <c r="F93" s="169"/>
      <c r="G93" s="4"/>
      <c r="H93" s="4"/>
      <c r="I93" s="4"/>
      <c r="J93" s="4"/>
      <c r="K93" s="4"/>
      <c r="L93" s="821"/>
      <c r="M93" s="538"/>
      <c r="N93" s="4"/>
      <c r="O93" s="4"/>
      <c r="P93" s="4"/>
      <c r="Q93" s="4"/>
      <c r="R93" s="4"/>
      <c r="S93" s="4"/>
      <c r="T93" s="4"/>
      <c r="U93" s="135"/>
      <c r="V93" s="135"/>
      <c r="W93" s="4"/>
    </row>
    <row r="94" spans="1:29">
      <c r="C94" s="4"/>
      <c r="D94" s="135"/>
      <c r="E94" s="1564"/>
      <c r="F94" s="169"/>
      <c r="G94" s="4"/>
      <c r="H94" s="4"/>
      <c r="I94" s="4"/>
      <c r="J94" s="4"/>
      <c r="K94" s="4"/>
      <c r="L94" s="821"/>
      <c r="M94" s="538"/>
      <c r="N94" s="4"/>
      <c r="O94" s="4"/>
      <c r="P94" s="4"/>
      <c r="Q94" s="4"/>
      <c r="R94" s="4"/>
      <c r="S94" s="4"/>
      <c r="T94" s="4"/>
      <c r="U94" s="135"/>
      <c r="V94" s="135"/>
      <c r="W94" s="4"/>
    </row>
    <row r="95" spans="1:29">
      <c r="C95" s="4"/>
      <c r="D95" s="135"/>
      <c r="E95" s="1564"/>
      <c r="F95" s="169"/>
      <c r="G95" s="4"/>
      <c r="H95" s="4"/>
      <c r="I95" s="4"/>
      <c r="J95" s="4"/>
      <c r="K95" s="4"/>
      <c r="L95" s="821"/>
      <c r="M95" s="538"/>
      <c r="N95" s="4"/>
      <c r="O95" s="4"/>
      <c r="P95" s="4"/>
      <c r="Q95" s="4"/>
      <c r="R95" s="4"/>
      <c r="S95" s="4"/>
      <c r="T95" s="4"/>
      <c r="U95" s="135"/>
      <c r="V95" s="135"/>
      <c r="W95" s="4"/>
    </row>
    <row r="96" spans="1:29">
      <c r="C96" s="4"/>
      <c r="D96" s="135"/>
      <c r="E96" s="1564"/>
      <c r="F96" s="169"/>
      <c r="G96" s="4"/>
      <c r="H96" s="4"/>
      <c r="I96" s="4"/>
      <c r="J96" s="4"/>
      <c r="K96" s="4"/>
      <c r="L96" s="821"/>
      <c r="M96" s="538"/>
      <c r="N96" s="4"/>
      <c r="O96" s="4"/>
      <c r="P96" s="4"/>
      <c r="Q96" s="4"/>
      <c r="R96" s="4"/>
      <c r="S96" s="4"/>
      <c r="T96" s="4"/>
      <c r="U96" s="135"/>
      <c r="V96" s="135"/>
      <c r="W96" s="4"/>
    </row>
    <row r="97" spans="1:23">
      <c r="C97" s="4"/>
      <c r="D97" s="135"/>
      <c r="E97" s="1564"/>
      <c r="F97" s="169"/>
      <c r="G97" s="4"/>
      <c r="H97" s="4"/>
      <c r="I97" s="4"/>
      <c r="J97" s="4"/>
      <c r="K97" s="4"/>
      <c r="L97" s="821"/>
      <c r="M97" s="538"/>
      <c r="N97" s="4"/>
      <c r="O97" s="4"/>
      <c r="P97" s="4"/>
      <c r="Q97" s="4"/>
      <c r="R97" s="4"/>
      <c r="S97" s="4"/>
      <c r="T97" s="4"/>
      <c r="U97" s="135"/>
      <c r="V97" s="135"/>
      <c r="W97" s="4"/>
    </row>
    <row r="98" spans="1:23">
      <c r="C98" s="4"/>
      <c r="D98" s="135"/>
      <c r="E98" s="1564"/>
      <c r="F98" s="169"/>
      <c r="G98" s="4"/>
      <c r="H98" s="4"/>
      <c r="I98" s="4"/>
      <c r="J98" s="4"/>
      <c r="K98" s="4"/>
      <c r="L98" s="821"/>
      <c r="M98" s="538"/>
      <c r="N98" s="4"/>
      <c r="O98" s="4"/>
      <c r="P98" s="4"/>
      <c r="Q98" s="4"/>
      <c r="R98" s="4"/>
      <c r="S98" s="4"/>
      <c r="T98" s="4"/>
      <c r="U98" s="135"/>
      <c r="V98" s="135"/>
      <c r="W98" s="4"/>
    </row>
    <row r="99" spans="1:23">
      <c r="C99" s="4"/>
      <c r="D99" s="135"/>
      <c r="E99" s="1564"/>
      <c r="F99" s="169"/>
      <c r="G99" s="4"/>
      <c r="H99" s="4"/>
      <c r="I99" s="4"/>
      <c r="J99" s="4"/>
      <c r="K99" s="4"/>
      <c r="L99" s="821"/>
      <c r="M99" s="538"/>
      <c r="N99" s="4"/>
      <c r="O99" s="4"/>
      <c r="P99" s="4"/>
      <c r="Q99" s="4"/>
      <c r="R99" s="4"/>
      <c r="S99" s="4"/>
      <c r="T99" s="4"/>
      <c r="U99" s="135"/>
      <c r="V99" s="135"/>
      <c r="W99" s="4"/>
    </row>
    <row r="100" spans="1:23">
      <c r="A100" s="4"/>
      <c r="C100" s="4"/>
      <c r="D100" s="135"/>
      <c r="E100" s="1564"/>
      <c r="F100" s="169"/>
      <c r="G100" s="4"/>
      <c r="H100" s="4"/>
      <c r="I100" s="4"/>
      <c r="J100" s="4"/>
      <c r="K100" s="4"/>
      <c r="L100" s="821"/>
      <c r="M100" s="538"/>
      <c r="N100" s="4"/>
      <c r="O100" s="4"/>
      <c r="P100" s="4"/>
      <c r="Q100" s="4"/>
      <c r="R100" s="4"/>
      <c r="S100" s="4"/>
      <c r="T100" s="4"/>
      <c r="U100" s="135"/>
      <c r="V100" s="135"/>
      <c r="W100" s="4"/>
    </row>
    <row r="101" spans="1:23">
      <c r="A101" s="4"/>
      <c r="C101" s="4"/>
      <c r="D101" s="135"/>
      <c r="E101" s="1564"/>
      <c r="F101" s="169"/>
      <c r="G101" s="4"/>
      <c r="H101" s="4"/>
      <c r="I101" s="4"/>
      <c r="J101" s="4"/>
      <c r="K101" s="4"/>
      <c r="L101" s="821"/>
      <c r="M101" s="538"/>
      <c r="N101" s="4"/>
      <c r="O101" s="4"/>
      <c r="P101" s="4"/>
      <c r="Q101" s="4"/>
      <c r="R101" s="4"/>
      <c r="S101" s="4"/>
      <c r="T101" s="4"/>
      <c r="U101" s="135"/>
      <c r="V101" s="135"/>
      <c r="W101" s="4"/>
    </row>
    <row r="102" spans="1:23">
      <c r="A102" s="4"/>
      <c r="C102" s="4"/>
      <c r="D102" s="135"/>
      <c r="E102" s="1564"/>
      <c r="F102" s="169"/>
      <c r="G102" s="4"/>
      <c r="H102" s="4"/>
      <c r="I102" s="4"/>
      <c r="J102" s="4"/>
      <c r="K102" s="4"/>
      <c r="L102" s="821"/>
      <c r="M102" s="538"/>
      <c r="N102" s="4"/>
      <c r="O102" s="4"/>
      <c r="P102" s="4"/>
      <c r="Q102" s="4"/>
      <c r="R102" s="4"/>
      <c r="S102" s="4"/>
      <c r="T102" s="4"/>
      <c r="U102" s="135"/>
      <c r="V102" s="135"/>
      <c r="W102" s="4"/>
    </row>
    <row r="103" spans="1:23">
      <c r="A103" s="4"/>
      <c r="C103" s="4"/>
      <c r="D103" s="135"/>
      <c r="E103" s="1564"/>
      <c r="F103" s="169"/>
      <c r="G103" s="4"/>
      <c r="H103" s="4"/>
      <c r="I103" s="4"/>
      <c r="J103" s="4"/>
      <c r="K103" s="4"/>
      <c r="L103" s="821"/>
      <c r="M103" s="538"/>
      <c r="N103" s="4"/>
      <c r="O103" s="4"/>
      <c r="P103" s="4"/>
      <c r="Q103" s="4"/>
      <c r="R103" s="4"/>
      <c r="S103" s="4"/>
      <c r="T103" s="4"/>
      <c r="U103" s="135"/>
      <c r="V103" s="135"/>
      <c r="W103" s="4"/>
    </row>
    <row r="104" spans="1:23">
      <c r="A104" s="4"/>
      <c r="C104" s="4"/>
      <c r="D104" s="135"/>
      <c r="E104" s="1564"/>
      <c r="F104" s="169"/>
      <c r="G104" s="4"/>
      <c r="H104" s="4"/>
      <c r="I104" s="4"/>
      <c r="J104" s="4"/>
      <c r="K104" s="4"/>
      <c r="L104" s="821"/>
      <c r="M104" s="538"/>
      <c r="N104" s="4"/>
      <c r="O104" s="4"/>
      <c r="P104" s="4"/>
      <c r="Q104" s="4"/>
      <c r="R104" s="4"/>
      <c r="S104" s="4"/>
      <c r="T104" s="4"/>
      <c r="U104" s="135"/>
      <c r="V104" s="135"/>
      <c r="W104" s="4"/>
    </row>
    <row r="105" spans="1:23">
      <c r="A105" s="4"/>
      <c r="C105" s="4"/>
      <c r="D105" s="135"/>
      <c r="E105" s="1564"/>
      <c r="F105" s="169"/>
      <c r="G105" s="4"/>
      <c r="H105" s="4"/>
      <c r="I105" s="4"/>
      <c r="J105" s="4"/>
      <c r="K105" s="4"/>
      <c r="L105" s="821"/>
      <c r="M105" s="538"/>
      <c r="N105" s="4"/>
      <c r="O105" s="4"/>
      <c r="P105" s="4"/>
      <c r="Q105" s="4"/>
      <c r="R105" s="4"/>
      <c r="S105" s="4"/>
      <c r="T105" s="4"/>
      <c r="U105" s="135"/>
      <c r="V105" s="135"/>
      <c r="W105" s="4"/>
    </row>
    <row r="106" spans="1:23">
      <c r="A106" s="4"/>
      <c r="C106" s="4"/>
      <c r="D106" s="135"/>
      <c r="E106" s="1564"/>
      <c r="F106" s="169"/>
      <c r="G106" s="4"/>
      <c r="H106" s="4"/>
      <c r="I106" s="4"/>
      <c r="J106" s="4"/>
      <c r="K106" s="4"/>
      <c r="L106" s="821"/>
      <c r="M106" s="538"/>
      <c r="N106" s="4"/>
      <c r="O106" s="4"/>
      <c r="P106" s="4"/>
      <c r="Q106" s="4"/>
      <c r="R106" s="4"/>
      <c r="S106" s="4"/>
      <c r="T106" s="4"/>
      <c r="U106" s="135"/>
      <c r="V106" s="135"/>
      <c r="W106" s="4"/>
    </row>
    <row r="107" spans="1:23">
      <c r="A107" s="4"/>
      <c r="C107" s="4"/>
      <c r="D107" s="135"/>
      <c r="E107" s="1564"/>
      <c r="F107" s="169"/>
      <c r="G107" s="4"/>
      <c r="H107" s="4"/>
      <c r="I107" s="4"/>
      <c r="J107" s="4"/>
      <c r="K107" s="4"/>
      <c r="L107" s="821"/>
      <c r="M107" s="538"/>
      <c r="N107" s="4"/>
      <c r="O107" s="4"/>
      <c r="P107" s="4"/>
      <c r="Q107" s="4"/>
      <c r="R107" s="4"/>
      <c r="S107" s="4"/>
      <c r="T107" s="4"/>
      <c r="U107" s="135"/>
      <c r="V107" s="135"/>
      <c r="W107" s="4"/>
    </row>
    <row r="108" spans="1:23">
      <c r="A108" s="4"/>
      <c r="C108" s="4"/>
      <c r="D108" s="135"/>
      <c r="E108" s="1564"/>
      <c r="F108" s="169"/>
      <c r="G108" s="4"/>
      <c r="H108" s="4"/>
      <c r="I108" s="4"/>
      <c r="J108" s="4"/>
      <c r="K108" s="4"/>
      <c r="L108" s="821"/>
      <c r="M108" s="538"/>
      <c r="N108" s="4"/>
      <c r="O108" s="4"/>
      <c r="P108" s="4"/>
      <c r="Q108" s="4"/>
      <c r="R108" s="4"/>
      <c r="S108" s="4"/>
      <c r="T108" s="4"/>
      <c r="U108" s="135"/>
      <c r="V108" s="135"/>
      <c r="W108" s="4"/>
    </row>
    <row r="109" spans="1:23">
      <c r="A109" s="4"/>
      <c r="C109" s="4"/>
      <c r="D109" s="135"/>
      <c r="E109" s="1564"/>
      <c r="F109" s="169"/>
      <c r="G109" s="4"/>
      <c r="H109" s="4"/>
      <c r="I109" s="4"/>
      <c r="J109" s="4"/>
      <c r="K109" s="4"/>
      <c r="L109" s="821"/>
      <c r="M109" s="538"/>
      <c r="N109" s="4"/>
      <c r="O109" s="4"/>
      <c r="P109" s="4"/>
      <c r="Q109" s="4"/>
      <c r="R109" s="4"/>
      <c r="S109" s="4"/>
      <c r="T109" s="4"/>
      <c r="U109" s="135"/>
      <c r="V109" s="135"/>
      <c r="W109" s="4"/>
    </row>
    <row r="110" spans="1:23">
      <c r="A110" s="4"/>
      <c r="C110" s="4"/>
      <c r="D110" s="135"/>
      <c r="E110" s="1564"/>
      <c r="F110" s="169"/>
      <c r="G110" s="4"/>
      <c r="H110" s="4"/>
      <c r="I110" s="4"/>
      <c r="J110" s="4"/>
      <c r="K110" s="4"/>
      <c r="L110" s="821"/>
      <c r="M110" s="538"/>
      <c r="N110" s="4"/>
      <c r="O110" s="4"/>
      <c r="P110" s="4"/>
      <c r="Q110" s="4"/>
      <c r="R110" s="4"/>
      <c r="S110" s="4"/>
      <c r="T110" s="4"/>
      <c r="U110" s="135"/>
      <c r="V110" s="135"/>
      <c r="W110" s="4"/>
    </row>
    <row r="111" spans="1:23">
      <c r="A111" s="4"/>
      <c r="C111" s="4"/>
      <c r="D111" s="135"/>
      <c r="E111" s="1564"/>
      <c r="F111" s="169"/>
      <c r="G111" s="4"/>
      <c r="H111" s="4"/>
      <c r="I111" s="4"/>
      <c r="J111" s="4"/>
      <c r="K111" s="4"/>
      <c r="L111" s="821"/>
      <c r="M111" s="538"/>
      <c r="N111" s="4"/>
      <c r="O111" s="4"/>
      <c r="P111" s="4"/>
      <c r="Q111" s="4"/>
      <c r="R111" s="4"/>
      <c r="S111" s="4"/>
      <c r="T111" s="4"/>
      <c r="U111" s="135"/>
      <c r="V111" s="135"/>
      <c r="W111" s="4"/>
    </row>
    <row r="112" spans="1:23">
      <c r="A112" s="4"/>
      <c r="C112" s="4"/>
      <c r="D112" s="135"/>
      <c r="E112" s="1564"/>
      <c r="F112" s="169"/>
      <c r="G112" s="4"/>
      <c r="H112" s="4"/>
      <c r="I112" s="4"/>
      <c r="J112" s="4"/>
      <c r="K112" s="4"/>
      <c r="L112" s="821"/>
      <c r="M112" s="538"/>
      <c r="N112" s="4"/>
      <c r="O112" s="4"/>
      <c r="P112" s="4"/>
      <c r="Q112" s="4"/>
      <c r="R112" s="4"/>
      <c r="S112" s="4"/>
      <c r="T112" s="4"/>
      <c r="U112" s="135"/>
      <c r="V112" s="135"/>
      <c r="W112" s="4"/>
    </row>
    <row r="113" spans="1:23">
      <c r="A113" s="4"/>
      <c r="C113" s="4"/>
      <c r="D113" s="135"/>
      <c r="E113" s="1564"/>
      <c r="F113" s="169"/>
      <c r="G113" s="4"/>
      <c r="H113" s="4"/>
      <c r="I113" s="4"/>
      <c r="J113" s="4"/>
      <c r="K113" s="4"/>
      <c r="L113" s="821"/>
      <c r="M113" s="538"/>
      <c r="N113" s="4"/>
      <c r="O113" s="4"/>
      <c r="P113" s="4"/>
      <c r="Q113" s="4"/>
      <c r="R113" s="4"/>
      <c r="S113" s="4"/>
      <c r="T113" s="4"/>
      <c r="U113" s="135"/>
      <c r="V113" s="135"/>
      <c r="W113" s="4"/>
    </row>
    <row r="114" spans="1:23">
      <c r="A114" s="4"/>
      <c r="C114" s="4"/>
      <c r="D114" s="135"/>
      <c r="E114" s="1564"/>
      <c r="F114" s="169"/>
      <c r="G114" s="4"/>
      <c r="H114" s="4"/>
      <c r="I114" s="4"/>
      <c r="J114" s="4"/>
      <c r="K114" s="4"/>
      <c r="L114" s="821"/>
      <c r="M114" s="538"/>
      <c r="N114" s="4"/>
      <c r="O114" s="4"/>
      <c r="P114" s="4"/>
      <c r="Q114" s="4"/>
      <c r="R114" s="4"/>
      <c r="S114" s="4"/>
      <c r="T114" s="4"/>
      <c r="U114" s="135"/>
      <c r="V114" s="135"/>
      <c r="W114" s="4"/>
    </row>
    <row r="115" spans="1:23">
      <c r="A115" s="4"/>
      <c r="C115" s="4"/>
      <c r="D115" s="135"/>
      <c r="E115" s="1564"/>
      <c r="F115" s="169"/>
      <c r="G115" s="4"/>
      <c r="H115" s="4"/>
      <c r="I115" s="4"/>
      <c r="J115" s="4"/>
      <c r="K115" s="4"/>
      <c r="L115" s="821"/>
      <c r="M115" s="538"/>
      <c r="N115" s="4"/>
      <c r="O115" s="4"/>
      <c r="P115" s="4"/>
      <c r="Q115" s="4"/>
      <c r="R115" s="4"/>
      <c r="S115" s="4"/>
      <c r="T115" s="4"/>
      <c r="U115" s="135"/>
      <c r="V115" s="135"/>
      <c r="W115" s="4"/>
    </row>
    <row r="116" spans="1:23">
      <c r="A116" s="4"/>
      <c r="C116" s="4"/>
      <c r="D116" s="135"/>
      <c r="E116" s="1564"/>
      <c r="F116" s="169"/>
      <c r="G116" s="4"/>
      <c r="H116" s="4"/>
      <c r="I116" s="4"/>
      <c r="J116" s="4"/>
      <c r="K116" s="4"/>
      <c r="L116" s="821"/>
      <c r="M116" s="538"/>
      <c r="N116" s="4"/>
      <c r="O116" s="4"/>
      <c r="P116" s="4"/>
      <c r="Q116" s="4"/>
      <c r="R116" s="4"/>
      <c r="S116" s="4"/>
      <c r="T116" s="4"/>
      <c r="U116" s="135"/>
      <c r="V116" s="135"/>
      <c r="W116" s="4"/>
    </row>
    <row r="117" spans="1:23">
      <c r="A117" s="4"/>
      <c r="C117" s="4"/>
      <c r="D117" s="135"/>
      <c r="E117" s="1564"/>
      <c r="F117" s="169"/>
      <c r="G117" s="4"/>
      <c r="H117" s="4"/>
      <c r="I117" s="4"/>
      <c r="J117" s="4"/>
      <c r="K117" s="4"/>
      <c r="L117" s="821"/>
      <c r="M117" s="538"/>
      <c r="N117" s="4"/>
      <c r="O117" s="4"/>
      <c r="P117" s="4"/>
      <c r="Q117" s="4"/>
      <c r="R117" s="4"/>
      <c r="S117" s="4"/>
      <c r="T117" s="4"/>
      <c r="U117" s="135"/>
      <c r="V117" s="135"/>
      <c r="W117" s="4"/>
    </row>
    <row r="118" spans="1:23">
      <c r="A118" s="4"/>
      <c r="C118" s="4"/>
      <c r="D118" s="135"/>
      <c r="E118" s="1564"/>
      <c r="F118" s="169"/>
      <c r="G118" s="4"/>
      <c r="H118" s="4"/>
      <c r="I118" s="4"/>
      <c r="J118" s="4"/>
      <c r="K118" s="4"/>
      <c r="L118" s="821"/>
      <c r="M118" s="538"/>
      <c r="N118" s="4"/>
      <c r="O118" s="4"/>
      <c r="P118" s="4"/>
      <c r="Q118" s="4"/>
      <c r="R118" s="4"/>
      <c r="S118" s="4"/>
      <c r="T118" s="4"/>
      <c r="U118" s="135"/>
      <c r="V118" s="135"/>
      <c r="W118" s="4"/>
    </row>
    <row r="119" spans="1:23">
      <c r="A119" s="4"/>
      <c r="C119" s="4"/>
      <c r="D119" s="135"/>
      <c r="E119" s="1564"/>
      <c r="F119" s="169"/>
      <c r="G119" s="4"/>
      <c r="H119" s="4"/>
      <c r="I119" s="4"/>
      <c r="J119" s="4"/>
      <c r="K119" s="4"/>
      <c r="L119" s="821"/>
      <c r="M119" s="538"/>
      <c r="N119" s="4"/>
      <c r="O119" s="4"/>
      <c r="P119" s="4"/>
      <c r="Q119" s="4"/>
      <c r="R119" s="4"/>
      <c r="S119" s="4"/>
      <c r="T119" s="4"/>
      <c r="U119" s="135"/>
      <c r="V119" s="135"/>
      <c r="W119" s="4"/>
    </row>
    <row r="120" spans="1:23">
      <c r="A120" s="4"/>
      <c r="C120" s="4"/>
      <c r="D120" s="135"/>
      <c r="E120" s="1564"/>
      <c r="F120" s="169"/>
      <c r="G120" s="4"/>
      <c r="H120" s="4"/>
      <c r="I120" s="4"/>
      <c r="J120" s="4"/>
      <c r="K120" s="4"/>
      <c r="L120" s="821"/>
      <c r="M120" s="538"/>
      <c r="N120" s="4"/>
      <c r="O120" s="4"/>
      <c r="P120" s="4"/>
      <c r="Q120" s="4"/>
      <c r="R120" s="4"/>
      <c r="S120" s="4"/>
      <c r="T120" s="4"/>
      <c r="U120" s="135"/>
      <c r="V120" s="135"/>
      <c r="W120" s="4"/>
    </row>
    <row r="121" spans="1:23">
      <c r="A121" s="4"/>
      <c r="C121" s="4"/>
      <c r="D121" s="135"/>
      <c r="E121" s="1564"/>
      <c r="F121" s="169"/>
      <c r="G121" s="4"/>
      <c r="H121" s="4"/>
      <c r="I121" s="4"/>
      <c r="J121" s="4"/>
      <c r="K121" s="4"/>
      <c r="L121" s="821"/>
      <c r="M121" s="538"/>
      <c r="N121" s="4"/>
      <c r="O121" s="4"/>
      <c r="P121" s="4"/>
      <c r="Q121" s="4"/>
      <c r="R121" s="4"/>
      <c r="S121" s="4"/>
      <c r="T121" s="4"/>
      <c r="U121" s="135"/>
      <c r="V121" s="135"/>
      <c r="W121" s="4"/>
    </row>
    <row r="122" spans="1:23">
      <c r="A122" s="4"/>
      <c r="C122" s="4"/>
      <c r="D122" s="135"/>
      <c r="E122" s="1564"/>
      <c r="F122" s="169"/>
      <c r="G122" s="4"/>
      <c r="H122" s="4"/>
      <c r="I122" s="4"/>
      <c r="J122" s="4"/>
      <c r="K122" s="4"/>
      <c r="L122" s="821"/>
      <c r="M122" s="538"/>
      <c r="N122" s="4"/>
      <c r="O122" s="4"/>
      <c r="P122" s="4"/>
      <c r="Q122" s="4"/>
      <c r="R122" s="4"/>
      <c r="S122" s="4"/>
      <c r="T122" s="4"/>
      <c r="U122" s="135"/>
      <c r="V122" s="135"/>
      <c r="W122" s="4"/>
    </row>
    <row r="123" spans="1:23">
      <c r="A123" s="4"/>
      <c r="C123" s="4"/>
      <c r="D123" s="135"/>
      <c r="E123" s="1564"/>
      <c r="F123" s="169"/>
      <c r="G123" s="4"/>
      <c r="H123" s="4"/>
      <c r="I123" s="4"/>
      <c r="J123" s="4"/>
      <c r="K123" s="4"/>
      <c r="L123" s="821"/>
      <c r="M123" s="538"/>
      <c r="N123" s="4"/>
      <c r="O123" s="4"/>
      <c r="P123" s="4"/>
      <c r="Q123" s="4"/>
      <c r="R123" s="4"/>
      <c r="S123" s="4"/>
      <c r="T123" s="4"/>
      <c r="U123" s="135"/>
      <c r="V123" s="135"/>
      <c r="W123" s="4"/>
    </row>
    <row r="124" spans="1:23">
      <c r="A124" s="4"/>
      <c r="C124" s="4"/>
      <c r="D124" s="135"/>
      <c r="E124" s="1564"/>
      <c r="F124" s="169"/>
      <c r="G124" s="4"/>
      <c r="H124" s="4"/>
      <c r="I124" s="4"/>
      <c r="J124" s="4"/>
      <c r="K124" s="4"/>
      <c r="L124" s="821"/>
      <c r="M124" s="538"/>
      <c r="N124" s="4"/>
      <c r="O124" s="4"/>
      <c r="P124" s="4"/>
      <c r="Q124" s="4"/>
      <c r="R124" s="4"/>
      <c r="S124" s="4"/>
      <c r="T124" s="4"/>
      <c r="U124" s="135"/>
      <c r="V124" s="135"/>
      <c r="W124" s="4"/>
    </row>
    <row r="125" spans="1:23">
      <c r="A125" s="4"/>
      <c r="C125" s="4"/>
      <c r="D125" s="135"/>
      <c r="E125" s="1564"/>
      <c r="F125" s="169"/>
      <c r="G125" s="4"/>
      <c r="H125" s="4"/>
      <c r="I125" s="4"/>
      <c r="J125" s="4"/>
      <c r="K125" s="4"/>
      <c r="L125" s="821"/>
      <c r="M125" s="538"/>
      <c r="N125" s="4"/>
      <c r="O125" s="4"/>
      <c r="P125" s="4"/>
      <c r="Q125" s="4"/>
      <c r="R125" s="4"/>
      <c r="S125" s="4"/>
      <c r="T125" s="4"/>
      <c r="U125" s="135"/>
      <c r="V125" s="135"/>
      <c r="W125" s="4"/>
    </row>
    <row r="126" spans="1:23">
      <c r="A126" s="4"/>
      <c r="C126" s="4"/>
      <c r="D126" s="135"/>
      <c r="E126" s="1564"/>
      <c r="F126" s="169"/>
      <c r="G126" s="4"/>
      <c r="H126" s="4"/>
      <c r="I126" s="4"/>
      <c r="J126" s="4"/>
      <c r="K126" s="4"/>
      <c r="L126" s="821"/>
      <c r="M126" s="538"/>
      <c r="N126" s="4"/>
      <c r="O126" s="4"/>
      <c r="P126" s="4"/>
      <c r="Q126" s="4"/>
      <c r="R126" s="4"/>
      <c r="S126" s="4"/>
      <c r="T126" s="4"/>
      <c r="U126" s="135"/>
      <c r="V126" s="135"/>
      <c r="W126" s="4"/>
    </row>
    <row r="127" spans="1:23">
      <c r="A127" s="4"/>
      <c r="C127" s="4"/>
      <c r="D127" s="135"/>
      <c r="E127" s="1564"/>
      <c r="F127" s="169"/>
      <c r="G127" s="4"/>
      <c r="H127" s="4"/>
      <c r="I127" s="4"/>
      <c r="J127" s="4"/>
      <c r="K127" s="4"/>
      <c r="L127" s="821"/>
      <c r="M127" s="538"/>
      <c r="N127" s="4"/>
      <c r="O127" s="4"/>
      <c r="P127" s="4"/>
      <c r="Q127" s="4"/>
      <c r="R127" s="4"/>
      <c r="S127" s="4"/>
      <c r="T127" s="4"/>
      <c r="U127" s="135"/>
      <c r="V127" s="135"/>
      <c r="W127" s="4"/>
    </row>
    <row r="128" spans="1:23">
      <c r="A128" s="4"/>
      <c r="C128" s="4"/>
      <c r="D128" s="135"/>
      <c r="E128" s="1564"/>
      <c r="F128" s="169"/>
      <c r="G128" s="4"/>
      <c r="H128" s="4"/>
      <c r="I128" s="4"/>
      <c r="J128" s="4"/>
      <c r="K128" s="4"/>
      <c r="L128" s="821"/>
      <c r="M128" s="538"/>
      <c r="N128" s="4"/>
      <c r="O128" s="4"/>
      <c r="P128" s="4"/>
      <c r="Q128" s="4"/>
      <c r="R128" s="4"/>
      <c r="S128" s="4"/>
      <c r="T128" s="4"/>
      <c r="U128" s="135"/>
      <c r="V128" s="135"/>
      <c r="W128" s="4"/>
    </row>
    <row r="129" spans="1:23">
      <c r="A129" s="4"/>
      <c r="C129" s="4"/>
      <c r="D129" s="135"/>
      <c r="E129" s="1564"/>
      <c r="F129" s="169"/>
      <c r="G129" s="4"/>
      <c r="H129" s="4"/>
      <c r="I129" s="4"/>
      <c r="J129" s="4"/>
      <c r="K129" s="4"/>
      <c r="L129" s="821"/>
      <c r="M129" s="538"/>
      <c r="N129" s="4"/>
      <c r="O129" s="4"/>
      <c r="P129" s="4"/>
      <c r="Q129" s="4"/>
      <c r="R129" s="4"/>
      <c r="S129" s="4"/>
      <c r="T129" s="4"/>
      <c r="U129" s="135"/>
      <c r="V129" s="135"/>
      <c r="W129" s="4"/>
    </row>
    <row r="130" spans="1:23">
      <c r="A130" s="4"/>
      <c r="C130" s="4"/>
      <c r="D130" s="135"/>
      <c r="E130" s="1564"/>
      <c r="F130" s="169"/>
      <c r="G130" s="4"/>
      <c r="H130" s="4"/>
      <c r="I130" s="4"/>
      <c r="J130" s="4"/>
      <c r="K130" s="4"/>
      <c r="L130" s="821"/>
      <c r="M130" s="538"/>
      <c r="N130" s="4"/>
      <c r="O130" s="4"/>
      <c r="P130" s="4"/>
      <c r="Q130" s="4"/>
      <c r="R130" s="4"/>
      <c r="S130" s="4"/>
      <c r="T130" s="4"/>
      <c r="U130" s="135"/>
      <c r="V130" s="135"/>
      <c r="W130" s="4"/>
    </row>
    <row r="131" spans="1:23">
      <c r="A131" s="4"/>
      <c r="C131" s="4"/>
      <c r="D131" s="135"/>
      <c r="E131" s="1564"/>
      <c r="F131" s="169"/>
      <c r="G131" s="4"/>
      <c r="H131" s="4"/>
      <c r="I131" s="4"/>
      <c r="J131" s="4"/>
      <c r="K131" s="4"/>
      <c r="L131" s="821"/>
      <c r="M131" s="538"/>
      <c r="N131" s="4"/>
      <c r="O131" s="4"/>
      <c r="P131" s="4"/>
      <c r="Q131" s="4"/>
      <c r="R131" s="4"/>
      <c r="S131" s="4"/>
      <c r="T131" s="4"/>
      <c r="U131" s="135"/>
      <c r="V131" s="135"/>
      <c r="W131" s="4"/>
    </row>
    <row r="132" spans="1:23">
      <c r="A132" s="4"/>
      <c r="C132" s="4"/>
      <c r="D132" s="135"/>
      <c r="E132" s="1564"/>
      <c r="F132" s="169"/>
      <c r="G132" s="4"/>
      <c r="H132" s="4"/>
      <c r="I132" s="4"/>
      <c r="J132" s="4"/>
      <c r="K132" s="4"/>
      <c r="L132" s="821"/>
      <c r="M132" s="538"/>
      <c r="N132" s="4"/>
      <c r="O132" s="4"/>
      <c r="P132" s="4"/>
      <c r="Q132" s="4"/>
      <c r="R132" s="4"/>
      <c r="S132" s="4"/>
      <c r="T132" s="4"/>
      <c r="U132" s="135"/>
      <c r="V132" s="135"/>
      <c r="W132" s="4"/>
    </row>
    <row r="133" spans="1:23">
      <c r="A133" s="4"/>
      <c r="C133" s="4"/>
      <c r="D133" s="135"/>
      <c r="E133" s="1564"/>
      <c r="F133" s="169"/>
      <c r="G133" s="4"/>
      <c r="H133" s="4"/>
      <c r="I133" s="4"/>
      <c r="J133" s="4"/>
      <c r="K133" s="4"/>
      <c r="L133" s="821"/>
      <c r="M133" s="538"/>
      <c r="N133" s="4"/>
      <c r="O133" s="4"/>
      <c r="P133" s="4"/>
      <c r="Q133" s="4"/>
      <c r="R133" s="4"/>
      <c r="S133" s="4"/>
      <c r="T133" s="4"/>
      <c r="U133" s="135"/>
      <c r="V133" s="135"/>
      <c r="W133" s="4"/>
    </row>
    <row r="134" spans="1:23">
      <c r="A134" s="4"/>
      <c r="C134" s="4"/>
      <c r="D134" s="135"/>
      <c r="E134" s="1564"/>
      <c r="F134" s="169"/>
      <c r="G134" s="4"/>
      <c r="H134" s="4"/>
      <c r="I134" s="4"/>
      <c r="J134" s="4"/>
      <c r="K134" s="4"/>
      <c r="L134" s="821"/>
      <c r="M134" s="538"/>
      <c r="N134" s="4"/>
      <c r="O134" s="4"/>
      <c r="P134" s="4"/>
      <c r="Q134" s="4"/>
      <c r="R134" s="4"/>
      <c r="S134" s="4"/>
      <c r="T134" s="4"/>
      <c r="U134" s="135"/>
      <c r="V134" s="135"/>
      <c r="W134" s="4"/>
    </row>
    <row r="135" spans="1:23">
      <c r="A135" s="4"/>
      <c r="C135" s="4"/>
      <c r="D135" s="135"/>
      <c r="E135" s="1564"/>
      <c r="F135" s="169"/>
      <c r="G135" s="4"/>
      <c r="H135" s="4"/>
      <c r="I135" s="4"/>
      <c r="J135" s="4"/>
      <c r="K135" s="4"/>
      <c r="L135" s="821"/>
      <c r="M135" s="538"/>
      <c r="N135" s="4"/>
      <c r="O135" s="4"/>
      <c r="P135" s="4"/>
      <c r="Q135" s="4"/>
      <c r="R135" s="4"/>
      <c r="S135" s="4"/>
      <c r="T135" s="4"/>
      <c r="U135" s="135"/>
      <c r="V135" s="135"/>
      <c r="W135" s="4"/>
    </row>
    <row r="136" spans="1:23">
      <c r="A136" s="4"/>
      <c r="C136" s="4"/>
      <c r="D136" s="135"/>
      <c r="E136" s="1564"/>
      <c r="F136" s="169"/>
      <c r="G136" s="4"/>
      <c r="H136" s="4"/>
      <c r="I136" s="4"/>
      <c r="J136" s="4"/>
      <c r="K136" s="4"/>
      <c r="L136" s="821"/>
      <c r="M136" s="538"/>
      <c r="N136" s="4"/>
      <c r="O136" s="4"/>
      <c r="P136" s="4"/>
      <c r="Q136" s="4"/>
      <c r="R136" s="4"/>
      <c r="S136" s="4"/>
      <c r="T136" s="4"/>
      <c r="U136" s="135"/>
      <c r="V136" s="135"/>
      <c r="W136" s="4"/>
    </row>
    <row r="137" spans="1:23">
      <c r="A137" s="4"/>
      <c r="C137" s="4"/>
      <c r="D137" s="135"/>
      <c r="E137" s="1564"/>
      <c r="F137" s="169"/>
      <c r="G137" s="4"/>
      <c r="H137" s="4"/>
      <c r="I137" s="4"/>
      <c r="J137" s="4"/>
      <c r="K137" s="4"/>
      <c r="L137" s="821"/>
      <c r="M137" s="538"/>
      <c r="N137" s="4"/>
      <c r="O137" s="4"/>
      <c r="P137" s="4"/>
      <c r="Q137" s="4"/>
      <c r="R137" s="4"/>
      <c r="S137" s="4"/>
      <c r="T137" s="4"/>
      <c r="U137" s="135"/>
      <c r="V137" s="135"/>
      <c r="W137" s="4"/>
    </row>
    <row r="138" spans="1:23">
      <c r="A138" s="4"/>
      <c r="C138" s="4"/>
      <c r="D138" s="135"/>
      <c r="E138" s="1564"/>
      <c r="F138" s="169"/>
      <c r="G138" s="4"/>
      <c r="H138" s="4"/>
      <c r="I138" s="4"/>
      <c r="J138" s="4"/>
      <c r="K138" s="4"/>
      <c r="L138" s="821"/>
      <c r="M138" s="538"/>
      <c r="N138" s="4"/>
      <c r="O138" s="4"/>
      <c r="P138" s="4"/>
      <c r="Q138" s="4"/>
      <c r="R138" s="4"/>
      <c r="S138" s="4"/>
      <c r="T138" s="4"/>
      <c r="U138" s="135"/>
      <c r="V138" s="135"/>
      <c r="W138" s="4"/>
    </row>
    <row r="139" spans="1:23">
      <c r="A139" s="4"/>
      <c r="C139" s="4"/>
      <c r="D139" s="135"/>
      <c r="E139" s="1564"/>
      <c r="F139" s="169"/>
      <c r="G139" s="4"/>
      <c r="H139" s="4"/>
      <c r="I139" s="4"/>
      <c r="J139" s="4"/>
      <c r="K139" s="4"/>
      <c r="L139" s="821"/>
      <c r="M139" s="538"/>
      <c r="N139" s="4"/>
      <c r="O139" s="4"/>
      <c r="P139" s="4"/>
      <c r="Q139" s="4"/>
      <c r="R139" s="4"/>
      <c r="S139" s="4"/>
      <c r="T139" s="4"/>
      <c r="U139" s="135"/>
      <c r="V139" s="135"/>
      <c r="W139" s="4"/>
    </row>
    <row r="140" spans="1:23">
      <c r="A140" s="4"/>
      <c r="C140" s="4"/>
      <c r="D140" s="135"/>
      <c r="E140" s="1564"/>
      <c r="F140" s="169"/>
      <c r="G140" s="4"/>
      <c r="H140" s="4"/>
      <c r="I140" s="4"/>
      <c r="J140" s="4"/>
      <c r="K140" s="4"/>
      <c r="L140" s="821"/>
      <c r="M140" s="538"/>
      <c r="N140" s="4"/>
      <c r="O140" s="4"/>
      <c r="P140" s="4"/>
      <c r="Q140" s="4"/>
      <c r="R140" s="4"/>
      <c r="S140" s="4"/>
      <c r="T140" s="4"/>
      <c r="U140" s="135"/>
      <c r="V140" s="135"/>
      <c r="W140" s="4"/>
    </row>
    <row r="141" spans="1:23">
      <c r="A141" s="4"/>
      <c r="C141" s="4"/>
      <c r="D141" s="135"/>
      <c r="E141" s="1564"/>
      <c r="F141" s="169"/>
      <c r="G141" s="4"/>
      <c r="H141" s="4"/>
      <c r="I141" s="4"/>
      <c r="J141" s="4"/>
      <c r="K141" s="4"/>
      <c r="L141" s="821"/>
      <c r="M141" s="538"/>
      <c r="N141" s="4"/>
      <c r="O141" s="4"/>
      <c r="P141" s="4"/>
      <c r="Q141" s="4"/>
      <c r="R141" s="4"/>
      <c r="S141" s="4"/>
      <c r="T141" s="4"/>
      <c r="U141" s="135"/>
      <c r="V141" s="135"/>
      <c r="W141" s="4"/>
    </row>
    <row r="142" spans="1:23">
      <c r="A142" s="4"/>
      <c r="C142" s="4"/>
      <c r="D142" s="135"/>
      <c r="E142" s="1564"/>
      <c r="F142" s="169"/>
      <c r="G142" s="4"/>
      <c r="H142" s="4"/>
      <c r="I142" s="4"/>
      <c r="J142" s="4"/>
      <c r="K142" s="4"/>
      <c r="L142" s="821"/>
      <c r="M142" s="538"/>
      <c r="N142" s="4"/>
      <c r="O142" s="4"/>
      <c r="P142" s="4"/>
      <c r="Q142" s="4"/>
      <c r="R142" s="4"/>
      <c r="S142" s="4"/>
      <c r="T142" s="4"/>
      <c r="U142" s="135"/>
      <c r="V142" s="135"/>
      <c r="W142" s="4"/>
    </row>
    <row r="143" spans="1:23">
      <c r="A143" s="4"/>
      <c r="C143" s="4"/>
      <c r="D143" s="135"/>
      <c r="E143" s="1564"/>
      <c r="F143" s="169"/>
      <c r="G143" s="4"/>
      <c r="H143" s="4"/>
      <c r="I143" s="4"/>
      <c r="J143" s="4"/>
      <c r="K143" s="4"/>
      <c r="L143" s="821"/>
      <c r="M143" s="538"/>
      <c r="N143" s="4"/>
      <c r="O143" s="4"/>
      <c r="P143" s="4"/>
      <c r="Q143" s="4"/>
      <c r="R143" s="4"/>
      <c r="S143" s="4"/>
      <c r="T143" s="4"/>
      <c r="U143" s="135"/>
      <c r="V143" s="135"/>
      <c r="W143" s="4"/>
    </row>
    <row r="144" spans="1:23">
      <c r="A144" s="4"/>
      <c r="C144" s="4"/>
      <c r="D144" s="135"/>
      <c r="E144" s="1564"/>
      <c r="F144" s="169"/>
      <c r="G144" s="4"/>
      <c r="H144" s="4"/>
      <c r="I144" s="4"/>
      <c r="J144" s="4"/>
      <c r="K144" s="4"/>
      <c r="L144" s="821"/>
      <c r="M144" s="538"/>
      <c r="N144" s="4"/>
      <c r="O144" s="4"/>
      <c r="P144" s="4"/>
      <c r="Q144" s="4"/>
      <c r="R144" s="4"/>
      <c r="S144" s="4"/>
      <c r="T144" s="4"/>
      <c r="U144" s="135"/>
      <c r="V144" s="135"/>
      <c r="W144" s="4"/>
    </row>
    <row r="145" spans="1:23">
      <c r="A145" s="4"/>
      <c r="C145" s="4"/>
      <c r="D145" s="135"/>
      <c r="E145" s="1564"/>
      <c r="F145" s="169"/>
      <c r="G145" s="4"/>
      <c r="H145" s="4"/>
      <c r="I145" s="4"/>
      <c r="J145" s="4"/>
      <c r="K145" s="4"/>
      <c r="L145" s="821"/>
      <c r="M145" s="538"/>
      <c r="N145" s="4"/>
      <c r="O145" s="4"/>
      <c r="P145" s="4"/>
      <c r="Q145" s="4"/>
      <c r="R145" s="4"/>
      <c r="S145" s="4"/>
      <c r="T145" s="4"/>
      <c r="U145" s="135"/>
      <c r="V145" s="135"/>
      <c r="W145" s="4"/>
    </row>
    <row r="146" spans="1:23">
      <c r="A146" s="4"/>
      <c r="C146" s="4"/>
      <c r="D146" s="135"/>
      <c r="E146" s="1564"/>
      <c r="F146" s="169"/>
      <c r="G146" s="4"/>
      <c r="H146" s="4"/>
      <c r="I146" s="4"/>
      <c r="J146" s="4"/>
      <c r="K146" s="4"/>
      <c r="L146" s="821"/>
      <c r="M146" s="538"/>
      <c r="N146" s="4"/>
      <c r="O146" s="4"/>
      <c r="P146" s="4"/>
      <c r="Q146" s="4"/>
      <c r="R146" s="4"/>
      <c r="S146" s="4"/>
      <c r="T146" s="4"/>
      <c r="U146" s="135"/>
      <c r="V146" s="135"/>
      <c r="W146" s="4"/>
    </row>
    <row r="147" spans="1:23">
      <c r="A147" s="4"/>
      <c r="C147" s="4"/>
      <c r="D147" s="135"/>
      <c r="E147" s="1564"/>
      <c r="F147" s="169"/>
      <c r="G147" s="4"/>
      <c r="H147" s="4"/>
      <c r="I147" s="4"/>
      <c r="J147" s="4"/>
      <c r="K147" s="4"/>
      <c r="L147" s="821"/>
      <c r="M147" s="538"/>
      <c r="N147" s="4"/>
      <c r="O147" s="4"/>
      <c r="P147" s="4"/>
      <c r="Q147" s="4"/>
      <c r="R147" s="4"/>
      <c r="S147" s="4"/>
      <c r="T147" s="4"/>
      <c r="U147" s="135"/>
      <c r="V147" s="135"/>
      <c r="W147" s="4"/>
    </row>
    <row r="148" spans="1:23">
      <c r="C148" s="4"/>
      <c r="D148" s="135"/>
      <c r="E148" s="1564"/>
      <c r="F148" s="169"/>
      <c r="G148" s="4"/>
      <c r="H148" s="4"/>
      <c r="I148" s="4"/>
      <c r="J148" s="4"/>
      <c r="K148" s="4"/>
      <c r="L148" s="821"/>
      <c r="M148" s="538"/>
      <c r="N148" s="4"/>
      <c r="O148" s="4"/>
      <c r="P148" s="4"/>
      <c r="Q148" s="4"/>
      <c r="R148" s="4"/>
      <c r="S148" s="4"/>
      <c r="T148" s="4"/>
      <c r="U148" s="135"/>
      <c r="V148" s="135"/>
      <c r="W148" s="4"/>
    </row>
    <row r="149" spans="1:23">
      <c r="C149" s="4"/>
      <c r="D149" s="135"/>
      <c r="E149" s="1564"/>
      <c r="F149" s="169"/>
      <c r="G149" s="4"/>
      <c r="H149" s="4"/>
      <c r="I149" s="4"/>
      <c r="J149" s="4"/>
      <c r="K149" s="4"/>
      <c r="L149" s="821"/>
      <c r="M149" s="538"/>
      <c r="N149" s="4"/>
      <c r="O149" s="4"/>
      <c r="P149" s="4"/>
      <c r="Q149" s="4"/>
      <c r="R149" s="4"/>
      <c r="S149" s="4"/>
      <c r="T149" s="4"/>
      <c r="U149" s="135"/>
      <c r="V149" s="135"/>
      <c r="W149" s="4"/>
    </row>
    <row r="150" spans="1:23">
      <c r="C150" s="4"/>
      <c r="D150" s="135"/>
      <c r="E150" s="1564"/>
      <c r="F150" s="169"/>
      <c r="G150" s="4"/>
      <c r="H150" s="4"/>
      <c r="I150" s="4"/>
      <c r="J150" s="4"/>
      <c r="K150" s="4"/>
      <c r="L150" s="821"/>
      <c r="M150" s="538"/>
      <c r="N150" s="4"/>
      <c r="O150" s="4"/>
      <c r="P150" s="4"/>
      <c r="Q150" s="4"/>
      <c r="R150" s="4"/>
      <c r="S150" s="4"/>
      <c r="T150" s="4"/>
      <c r="U150" s="135"/>
      <c r="V150" s="135"/>
      <c r="W150" s="4"/>
    </row>
    <row r="151" spans="1:23">
      <c r="C151" s="4"/>
      <c r="D151" s="135"/>
      <c r="E151" s="1564"/>
      <c r="F151" s="169"/>
      <c r="G151" s="4"/>
      <c r="H151" s="4"/>
      <c r="I151" s="4"/>
      <c r="J151" s="4"/>
      <c r="K151" s="4"/>
      <c r="L151" s="821"/>
      <c r="M151" s="538"/>
      <c r="N151" s="4"/>
      <c r="O151" s="4"/>
      <c r="P151" s="4"/>
      <c r="Q151" s="4"/>
      <c r="R151" s="4"/>
      <c r="S151" s="4"/>
      <c r="T151" s="4"/>
      <c r="U151" s="135"/>
      <c r="V151" s="135"/>
      <c r="W151" s="4"/>
    </row>
    <row r="152" spans="1:23">
      <c r="C152" s="4"/>
      <c r="D152" s="135"/>
      <c r="E152" s="1564"/>
      <c r="F152" s="169"/>
      <c r="G152" s="4"/>
      <c r="H152" s="4"/>
      <c r="I152" s="4"/>
      <c r="J152" s="4"/>
      <c r="K152" s="4"/>
      <c r="L152" s="821"/>
      <c r="M152" s="538"/>
      <c r="N152" s="4"/>
      <c r="O152" s="4"/>
      <c r="P152" s="4"/>
      <c r="Q152" s="4"/>
      <c r="R152" s="4"/>
      <c r="S152" s="4"/>
      <c r="T152" s="4"/>
      <c r="U152" s="135"/>
      <c r="V152" s="135"/>
      <c r="W152" s="4"/>
    </row>
    <row r="153" spans="1:23">
      <c r="C153" s="4"/>
      <c r="D153" s="135"/>
      <c r="E153" s="1564"/>
      <c r="F153" s="169"/>
      <c r="G153" s="4"/>
      <c r="H153" s="4"/>
      <c r="I153" s="4"/>
      <c r="J153" s="4"/>
      <c r="K153" s="4"/>
      <c r="L153" s="821"/>
      <c r="M153" s="538"/>
      <c r="N153" s="4"/>
      <c r="O153" s="4"/>
      <c r="P153" s="4"/>
      <c r="Q153" s="4"/>
      <c r="R153" s="4"/>
      <c r="S153" s="4"/>
      <c r="T153" s="4"/>
      <c r="U153" s="135"/>
      <c r="V153" s="135"/>
      <c r="W153" s="4"/>
    </row>
    <row r="154" spans="1:23">
      <c r="C154" s="4"/>
      <c r="D154" s="135"/>
      <c r="E154" s="1564"/>
      <c r="F154" s="169"/>
      <c r="G154" s="4"/>
      <c r="H154" s="4"/>
      <c r="I154" s="4"/>
      <c r="J154" s="4"/>
      <c r="K154" s="4"/>
      <c r="L154" s="821"/>
      <c r="M154" s="538"/>
      <c r="N154" s="4"/>
      <c r="O154" s="4"/>
      <c r="P154" s="4"/>
      <c r="Q154" s="4"/>
      <c r="R154" s="4"/>
      <c r="S154" s="4"/>
      <c r="T154" s="4"/>
      <c r="U154" s="135"/>
      <c r="V154" s="135"/>
      <c r="W154" s="4"/>
    </row>
    <row r="155" spans="1:23">
      <c r="C155" s="4"/>
      <c r="D155" s="135"/>
      <c r="E155" s="1564"/>
      <c r="F155" s="169"/>
      <c r="G155" s="4"/>
      <c r="H155" s="4"/>
      <c r="I155" s="4"/>
      <c r="J155" s="4"/>
      <c r="K155" s="4"/>
      <c r="L155" s="821"/>
      <c r="M155" s="538"/>
      <c r="N155" s="4"/>
      <c r="O155" s="4"/>
      <c r="P155" s="4"/>
      <c r="Q155" s="4"/>
      <c r="R155" s="4"/>
      <c r="S155" s="4"/>
      <c r="T155" s="4"/>
      <c r="U155" s="135"/>
      <c r="V155" s="135"/>
      <c r="W155" s="4"/>
    </row>
    <row r="156" spans="1:23">
      <c r="C156" s="4"/>
      <c r="D156" s="135"/>
      <c r="E156" s="1564"/>
      <c r="F156" s="169"/>
      <c r="G156" s="4"/>
      <c r="H156" s="4"/>
      <c r="I156" s="4"/>
      <c r="J156" s="4"/>
      <c r="K156" s="4"/>
      <c r="L156" s="821"/>
      <c r="M156" s="538"/>
      <c r="N156" s="4"/>
      <c r="O156" s="4"/>
      <c r="P156" s="4"/>
      <c r="Q156" s="4"/>
      <c r="R156" s="4"/>
      <c r="S156" s="4"/>
      <c r="T156" s="4"/>
      <c r="U156" s="135"/>
      <c r="V156" s="135"/>
      <c r="W156" s="4"/>
    </row>
    <row r="157" spans="1:23">
      <c r="C157" s="4"/>
      <c r="D157" s="135"/>
      <c r="E157" s="1564"/>
      <c r="F157" s="169"/>
      <c r="G157" s="4"/>
      <c r="H157" s="4"/>
      <c r="I157" s="4"/>
      <c r="J157" s="4"/>
      <c r="K157" s="4"/>
      <c r="L157" s="821"/>
      <c r="M157" s="538"/>
      <c r="N157" s="4"/>
      <c r="O157" s="4"/>
      <c r="P157" s="4"/>
      <c r="Q157" s="4"/>
      <c r="R157" s="4"/>
      <c r="S157" s="4"/>
      <c r="T157" s="4"/>
      <c r="U157" s="135"/>
      <c r="V157" s="135"/>
      <c r="W157" s="4"/>
    </row>
    <row r="158" spans="1:23">
      <c r="C158" s="4"/>
      <c r="D158" s="135"/>
      <c r="E158" s="1564"/>
      <c r="F158" s="169"/>
      <c r="G158" s="4"/>
      <c r="H158" s="4"/>
      <c r="I158" s="4"/>
      <c r="J158" s="4"/>
      <c r="K158" s="4"/>
      <c r="L158" s="821"/>
      <c r="M158" s="538"/>
      <c r="N158" s="4"/>
      <c r="O158" s="4"/>
      <c r="P158" s="4"/>
      <c r="Q158" s="4"/>
      <c r="R158" s="4"/>
      <c r="S158" s="4"/>
      <c r="T158" s="4"/>
      <c r="U158" s="135"/>
      <c r="V158" s="135"/>
      <c r="W158" s="4"/>
    </row>
    <row r="159" spans="1:23">
      <c r="C159" s="4"/>
      <c r="D159" s="135"/>
      <c r="E159" s="1564"/>
      <c r="F159" s="169"/>
      <c r="G159" s="4"/>
      <c r="H159" s="4"/>
      <c r="I159" s="4"/>
      <c r="J159" s="4"/>
      <c r="K159" s="4"/>
      <c r="L159" s="821"/>
      <c r="M159" s="538"/>
      <c r="N159" s="4"/>
      <c r="O159" s="4"/>
      <c r="P159" s="4"/>
      <c r="Q159" s="4"/>
      <c r="R159" s="4"/>
      <c r="S159" s="4"/>
      <c r="T159" s="4"/>
      <c r="U159" s="135"/>
      <c r="V159" s="135"/>
      <c r="W159" s="4"/>
    </row>
    <row r="160" spans="1:23">
      <c r="C160" s="4"/>
      <c r="D160" s="135"/>
      <c r="E160" s="1564"/>
      <c r="F160" s="169"/>
      <c r="G160" s="4"/>
      <c r="H160" s="4"/>
      <c r="I160" s="4"/>
      <c r="J160" s="4"/>
      <c r="K160" s="4"/>
      <c r="L160" s="821"/>
      <c r="M160" s="538"/>
      <c r="N160" s="4"/>
      <c r="O160" s="4"/>
      <c r="P160" s="4"/>
      <c r="Q160" s="4"/>
      <c r="R160" s="4"/>
      <c r="S160" s="4"/>
      <c r="T160" s="4"/>
      <c r="U160" s="135"/>
      <c r="V160" s="135"/>
      <c r="W160" s="4"/>
    </row>
    <row r="161" spans="3:23">
      <c r="C161" s="4"/>
      <c r="D161" s="135"/>
      <c r="E161" s="1564"/>
      <c r="F161" s="169"/>
      <c r="G161" s="4"/>
      <c r="H161" s="4"/>
      <c r="I161" s="4"/>
      <c r="J161" s="4"/>
      <c r="K161" s="4"/>
      <c r="L161" s="821"/>
      <c r="M161" s="538"/>
      <c r="N161" s="4"/>
      <c r="O161" s="4"/>
      <c r="P161" s="4"/>
      <c r="Q161" s="4"/>
      <c r="R161" s="4"/>
      <c r="S161" s="4"/>
      <c r="T161" s="4"/>
      <c r="U161" s="135"/>
      <c r="V161" s="135"/>
      <c r="W161" s="4"/>
    </row>
    <row r="162" spans="3:23">
      <c r="C162" s="4"/>
      <c r="D162" s="135"/>
      <c r="E162" s="1564"/>
      <c r="F162" s="169"/>
      <c r="G162" s="4"/>
      <c r="H162" s="4"/>
      <c r="I162" s="4"/>
      <c r="J162" s="4"/>
      <c r="K162" s="4"/>
      <c r="L162" s="821"/>
      <c r="M162" s="538"/>
      <c r="N162" s="4"/>
      <c r="O162" s="4"/>
      <c r="P162" s="4"/>
      <c r="Q162" s="4"/>
      <c r="R162" s="4"/>
      <c r="S162" s="4"/>
      <c r="T162" s="4"/>
      <c r="U162" s="135"/>
      <c r="V162" s="135"/>
      <c r="W162" s="4"/>
    </row>
    <row r="163" spans="3:23">
      <c r="C163" s="4"/>
      <c r="D163" s="135"/>
      <c r="E163" s="1564"/>
      <c r="F163" s="169"/>
      <c r="G163" s="4"/>
      <c r="H163" s="4"/>
      <c r="I163" s="4"/>
      <c r="J163" s="4"/>
      <c r="K163" s="4"/>
      <c r="L163" s="821"/>
      <c r="M163" s="538"/>
      <c r="N163" s="4"/>
      <c r="O163" s="4"/>
      <c r="P163" s="4"/>
      <c r="Q163" s="4"/>
      <c r="R163" s="4"/>
      <c r="S163" s="4"/>
      <c r="T163" s="4"/>
      <c r="U163" s="135"/>
      <c r="V163" s="135"/>
      <c r="W163" s="4"/>
    </row>
    <row r="164" spans="3:23">
      <c r="C164" s="4"/>
      <c r="D164" s="135"/>
      <c r="E164" s="1564"/>
      <c r="F164" s="169"/>
      <c r="G164" s="4"/>
      <c r="H164" s="4"/>
      <c r="I164" s="4"/>
      <c r="J164" s="4"/>
      <c r="K164" s="4"/>
      <c r="L164" s="821"/>
      <c r="M164" s="538"/>
      <c r="N164" s="4"/>
      <c r="O164" s="4"/>
      <c r="P164" s="4"/>
      <c r="Q164" s="4"/>
      <c r="R164" s="4"/>
      <c r="S164" s="4"/>
      <c r="T164" s="4"/>
      <c r="U164" s="135"/>
      <c r="V164" s="135"/>
      <c r="W164" s="4"/>
    </row>
    <row r="165" spans="3:23">
      <c r="C165" s="4"/>
      <c r="D165" s="135"/>
      <c r="E165" s="1564"/>
      <c r="F165" s="169"/>
      <c r="G165" s="4"/>
      <c r="H165" s="4"/>
      <c r="I165" s="4"/>
      <c r="J165" s="4"/>
      <c r="K165" s="4"/>
      <c r="L165" s="821"/>
      <c r="M165" s="538"/>
      <c r="N165" s="4"/>
      <c r="O165" s="4"/>
      <c r="P165" s="4"/>
      <c r="Q165" s="4"/>
      <c r="R165" s="4"/>
      <c r="S165" s="4"/>
      <c r="T165" s="4"/>
      <c r="U165" s="135"/>
      <c r="V165" s="135"/>
      <c r="W165" s="4"/>
    </row>
    <row r="166" spans="3:23">
      <c r="C166" s="4"/>
      <c r="D166" s="135"/>
      <c r="E166" s="1564"/>
      <c r="F166" s="169"/>
      <c r="G166" s="4"/>
      <c r="H166" s="4"/>
      <c r="I166" s="4"/>
      <c r="J166" s="4"/>
      <c r="K166" s="4"/>
      <c r="L166" s="821"/>
      <c r="M166" s="538"/>
      <c r="N166" s="4"/>
      <c r="O166" s="4"/>
      <c r="P166" s="4"/>
      <c r="Q166" s="4"/>
      <c r="R166" s="4"/>
      <c r="S166" s="4"/>
      <c r="T166" s="4"/>
      <c r="U166" s="135"/>
      <c r="V166" s="135"/>
      <c r="W166" s="4"/>
    </row>
    <row r="167" spans="3:23">
      <c r="C167" s="4"/>
      <c r="D167" s="135"/>
      <c r="E167" s="1564"/>
      <c r="F167" s="169"/>
      <c r="G167" s="4"/>
      <c r="H167" s="4"/>
      <c r="I167" s="4"/>
      <c r="J167" s="4"/>
      <c r="K167" s="4"/>
      <c r="L167" s="821"/>
      <c r="M167" s="538"/>
      <c r="N167" s="4"/>
      <c r="O167" s="4"/>
      <c r="P167" s="4"/>
      <c r="Q167" s="4"/>
      <c r="R167" s="4"/>
      <c r="S167" s="4"/>
      <c r="T167" s="4"/>
      <c r="U167" s="135"/>
      <c r="V167" s="135"/>
      <c r="W167" s="4"/>
    </row>
    <row r="168" spans="3:23">
      <c r="C168" s="4"/>
      <c r="D168" s="135"/>
      <c r="E168" s="1564"/>
      <c r="F168" s="169"/>
      <c r="G168" s="4"/>
      <c r="H168" s="4"/>
      <c r="I168" s="4"/>
      <c r="J168" s="4"/>
      <c r="K168" s="4"/>
      <c r="L168" s="821"/>
      <c r="M168" s="538"/>
      <c r="N168" s="4"/>
      <c r="O168" s="4"/>
      <c r="P168" s="4"/>
      <c r="Q168" s="4"/>
      <c r="R168" s="4"/>
      <c r="S168" s="4"/>
      <c r="T168" s="4"/>
      <c r="U168" s="135"/>
      <c r="V168" s="135"/>
      <c r="W168" s="4"/>
    </row>
    <row r="169" spans="3:23">
      <c r="C169" s="4"/>
      <c r="D169" s="135"/>
      <c r="E169" s="1564"/>
      <c r="F169" s="169"/>
      <c r="G169" s="4"/>
      <c r="H169" s="4"/>
      <c r="I169" s="4"/>
      <c r="J169" s="4"/>
      <c r="K169" s="4"/>
      <c r="L169" s="821"/>
      <c r="M169" s="538"/>
      <c r="N169" s="4"/>
      <c r="O169" s="4"/>
      <c r="P169" s="4"/>
      <c r="Q169" s="4"/>
      <c r="R169" s="4"/>
      <c r="S169" s="4"/>
      <c r="T169" s="4"/>
      <c r="U169" s="135"/>
      <c r="V169" s="135"/>
      <c r="W169" s="4"/>
    </row>
    <row r="170" spans="3:23">
      <c r="C170" s="4"/>
      <c r="D170" s="135"/>
      <c r="E170" s="1564"/>
      <c r="F170" s="169"/>
      <c r="G170" s="4"/>
      <c r="H170" s="4"/>
      <c r="I170" s="4"/>
      <c r="J170" s="4"/>
      <c r="K170" s="4"/>
      <c r="L170" s="821"/>
      <c r="M170" s="538"/>
      <c r="N170" s="4"/>
      <c r="O170" s="4"/>
      <c r="P170" s="4"/>
      <c r="Q170" s="4"/>
      <c r="R170" s="4"/>
      <c r="S170" s="4"/>
      <c r="T170" s="4"/>
      <c r="U170" s="135"/>
      <c r="V170" s="135"/>
      <c r="W170" s="4"/>
    </row>
    <row r="171" spans="3:23">
      <c r="C171" s="4"/>
      <c r="D171" s="135"/>
      <c r="E171" s="1564"/>
      <c r="F171" s="169"/>
      <c r="G171" s="4"/>
      <c r="H171" s="4"/>
      <c r="I171" s="4"/>
      <c r="J171" s="4"/>
      <c r="K171" s="4"/>
      <c r="L171" s="821"/>
      <c r="M171" s="538"/>
      <c r="N171" s="4"/>
      <c r="O171" s="4"/>
      <c r="P171" s="4"/>
      <c r="Q171" s="4"/>
      <c r="R171" s="4"/>
      <c r="S171" s="4"/>
      <c r="T171" s="4"/>
      <c r="U171" s="135"/>
      <c r="V171" s="135"/>
      <c r="W171" s="4"/>
    </row>
    <row r="172" spans="3:23">
      <c r="C172" s="4"/>
      <c r="D172" s="135"/>
      <c r="E172" s="1564"/>
      <c r="F172" s="169"/>
      <c r="G172" s="4"/>
      <c r="H172" s="4"/>
      <c r="I172" s="4"/>
      <c r="J172" s="4"/>
      <c r="K172" s="4"/>
      <c r="L172" s="821"/>
      <c r="M172" s="538"/>
      <c r="N172" s="4"/>
      <c r="O172" s="4"/>
      <c r="P172" s="4"/>
      <c r="Q172" s="4"/>
      <c r="R172" s="4"/>
      <c r="S172" s="4"/>
      <c r="T172" s="4"/>
      <c r="U172" s="135"/>
      <c r="V172" s="135"/>
      <c r="W172" s="4"/>
    </row>
    <row r="173" spans="3:23">
      <c r="C173" s="4"/>
      <c r="D173" s="135"/>
      <c r="E173" s="1564"/>
      <c r="F173" s="169"/>
      <c r="G173" s="4"/>
      <c r="H173" s="4"/>
      <c r="I173" s="4"/>
      <c r="J173" s="4"/>
      <c r="K173" s="4"/>
      <c r="L173" s="821"/>
      <c r="M173" s="538"/>
      <c r="N173" s="4"/>
      <c r="O173" s="4"/>
      <c r="P173" s="4"/>
      <c r="Q173" s="4"/>
      <c r="R173" s="4"/>
      <c r="S173" s="4"/>
      <c r="T173" s="4"/>
      <c r="U173" s="135"/>
      <c r="V173" s="135"/>
      <c r="W173" s="4"/>
    </row>
    <row r="174" spans="3:23">
      <c r="C174" s="4"/>
      <c r="D174" s="135"/>
      <c r="E174" s="1564"/>
      <c r="F174" s="169"/>
      <c r="G174" s="4"/>
      <c r="H174" s="4"/>
      <c r="I174" s="4"/>
      <c r="J174" s="4"/>
      <c r="K174" s="4"/>
      <c r="L174" s="821"/>
      <c r="M174" s="538"/>
      <c r="N174" s="4"/>
      <c r="O174" s="4"/>
      <c r="P174" s="4"/>
      <c r="Q174" s="4"/>
      <c r="R174" s="4"/>
      <c r="S174" s="4"/>
      <c r="T174" s="4"/>
      <c r="U174" s="135"/>
      <c r="V174" s="135"/>
      <c r="W174" s="4"/>
    </row>
    <row r="175" spans="3:23">
      <c r="C175" s="4"/>
      <c r="D175" s="135"/>
      <c r="E175" s="1564"/>
      <c r="F175" s="169"/>
      <c r="G175" s="4"/>
      <c r="H175" s="4"/>
      <c r="I175" s="4"/>
      <c r="J175" s="4"/>
      <c r="K175" s="4"/>
      <c r="L175" s="821"/>
      <c r="M175" s="538"/>
      <c r="N175" s="4"/>
      <c r="O175" s="4"/>
      <c r="P175" s="4"/>
      <c r="Q175" s="4"/>
      <c r="R175" s="4"/>
      <c r="S175" s="4"/>
      <c r="T175" s="4"/>
      <c r="U175" s="135"/>
      <c r="V175" s="135"/>
      <c r="W175" s="4"/>
    </row>
    <row r="176" spans="3:23">
      <c r="C176" s="4"/>
      <c r="D176" s="135"/>
      <c r="E176" s="1564"/>
      <c r="F176" s="169"/>
      <c r="G176" s="4"/>
      <c r="H176" s="4"/>
      <c r="I176" s="4"/>
      <c r="J176" s="4"/>
      <c r="K176" s="4"/>
      <c r="L176" s="821"/>
      <c r="M176" s="538"/>
      <c r="N176" s="4"/>
      <c r="O176" s="4"/>
      <c r="P176" s="4"/>
      <c r="Q176" s="4"/>
      <c r="R176" s="4"/>
      <c r="S176" s="4"/>
      <c r="T176" s="4"/>
      <c r="U176" s="135"/>
      <c r="V176" s="135"/>
      <c r="W176" s="4"/>
    </row>
    <row r="177" spans="3:23">
      <c r="C177" s="4"/>
      <c r="D177" s="135"/>
      <c r="E177" s="1564"/>
      <c r="F177" s="169"/>
      <c r="G177" s="4"/>
      <c r="H177" s="4"/>
      <c r="I177" s="4"/>
      <c r="J177" s="4"/>
      <c r="K177" s="4"/>
      <c r="L177" s="821"/>
      <c r="M177" s="538"/>
      <c r="N177" s="4"/>
      <c r="O177" s="4"/>
      <c r="P177" s="4"/>
      <c r="Q177" s="4"/>
      <c r="R177" s="4"/>
      <c r="S177" s="4"/>
      <c r="T177" s="4"/>
      <c r="U177" s="135"/>
      <c r="V177" s="135"/>
      <c r="W177" s="4"/>
    </row>
    <row r="178" spans="3:23">
      <c r="C178" s="4"/>
      <c r="D178" s="135"/>
      <c r="E178" s="1564"/>
      <c r="F178" s="169"/>
      <c r="G178" s="4"/>
      <c r="H178" s="4"/>
      <c r="I178" s="4"/>
      <c r="J178" s="4"/>
      <c r="K178" s="4"/>
      <c r="L178" s="821"/>
      <c r="M178" s="538"/>
      <c r="N178" s="4"/>
      <c r="O178" s="4"/>
      <c r="P178" s="4"/>
      <c r="Q178" s="4"/>
      <c r="R178" s="4"/>
      <c r="S178" s="4"/>
      <c r="T178" s="4"/>
      <c r="U178" s="135"/>
      <c r="V178" s="135"/>
      <c r="W178" s="4"/>
    </row>
    <row r="179" spans="3:23">
      <c r="C179" s="4"/>
      <c r="D179" s="135"/>
      <c r="E179" s="1564"/>
      <c r="F179" s="169"/>
      <c r="G179" s="4"/>
      <c r="H179" s="4"/>
      <c r="I179" s="4"/>
      <c r="J179" s="4"/>
      <c r="K179" s="4"/>
      <c r="L179" s="821"/>
      <c r="M179" s="538"/>
      <c r="N179" s="4"/>
      <c r="O179" s="4"/>
      <c r="P179" s="4"/>
      <c r="Q179" s="4"/>
      <c r="R179" s="4"/>
      <c r="S179" s="4"/>
      <c r="T179" s="4"/>
      <c r="U179" s="135"/>
      <c r="V179" s="135"/>
      <c r="W179" s="4"/>
    </row>
    <row r="180" spans="3:23">
      <c r="C180" s="4"/>
      <c r="D180" s="135"/>
      <c r="E180" s="1564"/>
      <c r="F180" s="169"/>
      <c r="G180" s="4"/>
      <c r="H180" s="4"/>
      <c r="I180" s="4"/>
      <c r="J180" s="4"/>
      <c r="K180" s="4"/>
      <c r="L180" s="821"/>
      <c r="M180" s="538"/>
      <c r="N180" s="4"/>
      <c r="O180" s="4"/>
      <c r="P180" s="4"/>
      <c r="Q180" s="4"/>
      <c r="R180" s="4"/>
      <c r="S180" s="4"/>
      <c r="T180" s="4"/>
      <c r="U180" s="135"/>
      <c r="V180" s="135"/>
      <c r="W180" s="4"/>
    </row>
    <row r="181" spans="3:23">
      <c r="C181" s="4"/>
      <c r="D181" s="135"/>
      <c r="E181" s="1564"/>
      <c r="F181" s="169"/>
      <c r="G181" s="4"/>
      <c r="H181" s="4"/>
      <c r="I181" s="4"/>
      <c r="J181" s="4"/>
      <c r="K181" s="4"/>
      <c r="L181" s="821"/>
      <c r="M181" s="538"/>
      <c r="N181" s="4"/>
      <c r="O181" s="4"/>
      <c r="P181" s="4"/>
      <c r="Q181" s="4"/>
      <c r="R181" s="4"/>
      <c r="S181" s="4"/>
      <c r="T181" s="4"/>
      <c r="U181" s="135"/>
      <c r="V181" s="135"/>
      <c r="W181" s="4"/>
    </row>
    <row r="182" spans="3:23">
      <c r="C182" s="4"/>
      <c r="D182" s="135"/>
      <c r="E182" s="1564"/>
      <c r="F182" s="169"/>
      <c r="G182" s="4"/>
      <c r="H182" s="4"/>
      <c r="I182" s="4"/>
      <c r="J182" s="4"/>
      <c r="K182" s="4"/>
      <c r="L182" s="821"/>
      <c r="M182" s="538"/>
      <c r="N182" s="4"/>
      <c r="O182" s="4"/>
      <c r="P182" s="4"/>
      <c r="Q182" s="4"/>
      <c r="R182" s="4"/>
      <c r="S182" s="4"/>
      <c r="T182" s="4"/>
      <c r="U182" s="135"/>
      <c r="V182" s="135"/>
      <c r="W182" s="4"/>
    </row>
    <row r="183" spans="3:23">
      <c r="C183" s="4"/>
      <c r="D183" s="135"/>
      <c r="E183" s="1564"/>
      <c r="F183" s="169"/>
      <c r="G183" s="4"/>
      <c r="H183" s="4"/>
      <c r="I183" s="4"/>
      <c r="J183" s="4"/>
      <c r="K183" s="4"/>
      <c r="L183" s="821"/>
      <c r="M183" s="538"/>
      <c r="N183" s="4"/>
      <c r="O183" s="4"/>
      <c r="P183" s="4"/>
      <c r="Q183" s="4"/>
      <c r="R183" s="4"/>
      <c r="S183" s="4"/>
      <c r="T183" s="4"/>
      <c r="U183" s="135"/>
      <c r="V183" s="135"/>
      <c r="W183" s="4"/>
    </row>
    <row r="184" spans="3:23">
      <c r="C184" s="4"/>
      <c r="D184" s="135"/>
      <c r="E184" s="1564"/>
      <c r="F184" s="169"/>
      <c r="G184" s="4"/>
      <c r="H184" s="4"/>
      <c r="I184" s="4"/>
      <c r="J184" s="4"/>
      <c r="K184" s="4"/>
      <c r="L184" s="821"/>
      <c r="M184" s="538"/>
      <c r="N184" s="4"/>
      <c r="O184" s="4"/>
      <c r="P184" s="4"/>
      <c r="Q184" s="4"/>
      <c r="R184" s="4"/>
      <c r="S184" s="4"/>
      <c r="T184" s="4"/>
      <c r="U184" s="135"/>
      <c r="V184" s="135"/>
      <c r="W184" s="4"/>
    </row>
    <row r="185" spans="3:23">
      <c r="C185" s="4"/>
      <c r="D185" s="135"/>
      <c r="E185" s="1564"/>
      <c r="F185" s="169"/>
      <c r="G185" s="4"/>
      <c r="H185" s="4"/>
      <c r="I185" s="4"/>
      <c r="J185" s="4"/>
      <c r="K185" s="4"/>
      <c r="L185" s="821"/>
      <c r="M185" s="538"/>
      <c r="N185" s="4"/>
      <c r="O185" s="4"/>
      <c r="P185" s="4"/>
      <c r="Q185" s="4"/>
      <c r="R185" s="4"/>
      <c r="S185" s="4"/>
      <c r="T185" s="4"/>
      <c r="U185" s="135"/>
      <c r="V185" s="135"/>
      <c r="W185" s="4"/>
    </row>
    <row r="186" spans="3:23">
      <c r="C186" s="4"/>
      <c r="D186" s="135"/>
      <c r="E186" s="1564"/>
      <c r="F186" s="169"/>
      <c r="G186" s="4"/>
      <c r="H186" s="4"/>
      <c r="I186" s="4"/>
      <c r="J186" s="4"/>
      <c r="K186" s="4"/>
      <c r="L186" s="821"/>
      <c r="M186" s="538"/>
      <c r="N186" s="4"/>
      <c r="O186" s="4"/>
      <c r="P186" s="4"/>
      <c r="Q186" s="4"/>
      <c r="R186" s="4"/>
      <c r="S186" s="4"/>
      <c r="T186" s="4"/>
      <c r="U186" s="135"/>
      <c r="V186" s="135"/>
      <c r="W186" s="4"/>
    </row>
    <row r="187" spans="3:23">
      <c r="C187" s="4"/>
      <c r="D187" s="135"/>
      <c r="E187" s="1564"/>
      <c r="F187" s="169"/>
      <c r="G187" s="4"/>
      <c r="H187" s="4"/>
      <c r="I187" s="4"/>
      <c r="J187" s="4"/>
      <c r="K187" s="4"/>
      <c r="L187" s="821"/>
      <c r="M187" s="538"/>
      <c r="N187" s="4"/>
      <c r="O187" s="4"/>
      <c r="P187" s="4"/>
      <c r="Q187" s="4"/>
      <c r="R187" s="4"/>
      <c r="S187" s="4"/>
      <c r="T187" s="4"/>
      <c r="U187" s="135"/>
      <c r="V187" s="135"/>
      <c r="W187" s="4"/>
    </row>
    <row r="188" spans="3:23">
      <c r="C188" s="4"/>
      <c r="D188" s="135"/>
      <c r="E188" s="1564"/>
      <c r="F188" s="169"/>
      <c r="G188" s="4"/>
      <c r="H188" s="4"/>
      <c r="I188" s="4"/>
      <c r="J188" s="4"/>
      <c r="K188" s="4"/>
      <c r="L188" s="821"/>
      <c r="M188" s="538"/>
      <c r="N188" s="4"/>
      <c r="O188" s="4"/>
      <c r="P188" s="4"/>
      <c r="Q188" s="4"/>
      <c r="R188" s="4"/>
      <c r="S188" s="4"/>
      <c r="T188" s="4"/>
      <c r="U188" s="135"/>
      <c r="V188" s="135"/>
      <c r="W188" s="4"/>
    </row>
    <row r="189" spans="3:23">
      <c r="C189" s="4"/>
      <c r="D189" s="135"/>
      <c r="E189" s="1564"/>
      <c r="F189" s="169"/>
      <c r="G189" s="4"/>
      <c r="H189" s="4"/>
      <c r="I189" s="4"/>
      <c r="J189" s="4"/>
      <c r="K189" s="4"/>
      <c r="L189" s="821"/>
      <c r="M189" s="538"/>
      <c r="N189" s="4"/>
      <c r="O189" s="4"/>
      <c r="P189" s="4"/>
      <c r="Q189" s="4"/>
      <c r="R189" s="4"/>
      <c r="S189" s="4"/>
      <c r="T189" s="4"/>
      <c r="U189" s="135"/>
      <c r="V189" s="135"/>
      <c r="W189" s="4"/>
    </row>
    <row r="190" spans="3:23">
      <c r="C190" s="4"/>
      <c r="D190" s="135"/>
      <c r="E190" s="1564"/>
      <c r="F190" s="169"/>
      <c r="G190" s="4"/>
      <c r="H190" s="4"/>
      <c r="I190" s="4"/>
      <c r="J190" s="4"/>
      <c r="K190" s="4"/>
      <c r="L190" s="821"/>
      <c r="M190" s="538"/>
      <c r="N190" s="4"/>
      <c r="O190" s="4"/>
      <c r="P190" s="4"/>
      <c r="Q190" s="4"/>
      <c r="R190" s="4"/>
      <c r="S190" s="4"/>
      <c r="T190" s="4"/>
      <c r="U190" s="135"/>
      <c r="V190" s="135"/>
      <c r="W190" s="4"/>
    </row>
    <row r="191" spans="3:23">
      <c r="C191" s="4"/>
      <c r="D191" s="135"/>
      <c r="E191" s="1564"/>
      <c r="F191" s="169"/>
      <c r="G191" s="4"/>
      <c r="H191" s="4"/>
      <c r="I191" s="4"/>
      <c r="J191" s="4"/>
      <c r="K191" s="4"/>
      <c r="L191" s="821"/>
      <c r="M191" s="538"/>
      <c r="N191" s="4"/>
      <c r="O191" s="4"/>
      <c r="P191" s="4"/>
      <c r="Q191" s="4"/>
      <c r="R191" s="4"/>
      <c r="S191" s="4"/>
      <c r="T191" s="4"/>
      <c r="U191" s="135"/>
      <c r="V191" s="135"/>
      <c r="W191" s="4"/>
    </row>
    <row r="192" spans="3:23">
      <c r="C192" s="4"/>
      <c r="D192" s="135"/>
      <c r="E192" s="1564"/>
      <c r="F192" s="169"/>
      <c r="G192" s="4"/>
      <c r="H192" s="4"/>
      <c r="I192" s="4"/>
      <c r="J192" s="4"/>
      <c r="K192" s="4"/>
      <c r="L192" s="821"/>
      <c r="M192" s="538"/>
      <c r="N192" s="4"/>
      <c r="O192" s="4"/>
      <c r="P192" s="4"/>
      <c r="Q192" s="4"/>
      <c r="R192" s="4"/>
      <c r="S192" s="4"/>
      <c r="T192" s="4"/>
      <c r="U192" s="135"/>
      <c r="V192" s="135"/>
      <c r="W192" s="4"/>
    </row>
    <row r="193" spans="3:23">
      <c r="C193" s="4"/>
      <c r="D193" s="135"/>
      <c r="E193" s="1564"/>
      <c r="F193" s="169"/>
      <c r="G193" s="4"/>
      <c r="H193" s="4"/>
      <c r="I193" s="4"/>
      <c r="J193" s="4"/>
      <c r="K193" s="4"/>
      <c r="L193" s="821"/>
      <c r="M193" s="538"/>
      <c r="N193" s="4"/>
      <c r="O193" s="4"/>
      <c r="P193" s="4"/>
      <c r="Q193" s="4"/>
      <c r="R193" s="4"/>
      <c r="S193" s="4"/>
      <c r="T193" s="4"/>
      <c r="U193" s="135"/>
      <c r="V193" s="135"/>
      <c r="W193" s="4"/>
    </row>
    <row r="194" spans="3:23">
      <c r="C194" s="4"/>
      <c r="D194" s="135"/>
      <c r="E194" s="1564"/>
      <c r="F194" s="169"/>
      <c r="G194" s="4"/>
      <c r="H194" s="4"/>
      <c r="I194" s="4"/>
      <c r="J194" s="4"/>
      <c r="K194" s="4"/>
      <c r="L194" s="821"/>
      <c r="M194" s="538"/>
      <c r="N194" s="4"/>
      <c r="O194" s="4"/>
      <c r="P194" s="4"/>
      <c r="Q194" s="4"/>
      <c r="R194" s="4"/>
      <c r="S194" s="4"/>
      <c r="T194" s="4"/>
      <c r="U194" s="135"/>
      <c r="V194" s="135"/>
      <c r="W194" s="4"/>
    </row>
    <row r="195" spans="3:23">
      <c r="C195" s="4"/>
      <c r="D195" s="135"/>
      <c r="E195" s="1564"/>
      <c r="F195" s="169"/>
      <c r="G195" s="4"/>
      <c r="H195" s="4"/>
      <c r="I195" s="4"/>
      <c r="J195" s="4"/>
      <c r="K195" s="4"/>
      <c r="L195" s="821"/>
      <c r="M195" s="538"/>
      <c r="N195" s="4"/>
      <c r="O195" s="4"/>
      <c r="P195" s="4"/>
      <c r="Q195" s="4"/>
      <c r="R195" s="4"/>
      <c r="S195" s="4"/>
      <c r="T195" s="4"/>
      <c r="U195" s="135"/>
      <c r="V195" s="135"/>
      <c r="W195" s="4"/>
    </row>
    <row r="196" spans="3:23">
      <c r="C196" s="4"/>
      <c r="D196" s="135"/>
      <c r="E196" s="1564"/>
      <c r="F196" s="169"/>
      <c r="G196" s="4"/>
      <c r="H196" s="4"/>
      <c r="I196" s="4"/>
      <c r="J196" s="4"/>
      <c r="K196" s="4"/>
      <c r="L196" s="821"/>
      <c r="M196" s="538"/>
      <c r="N196" s="4"/>
      <c r="O196" s="4"/>
      <c r="P196" s="4"/>
      <c r="Q196" s="4"/>
      <c r="R196" s="4"/>
      <c r="S196" s="4"/>
      <c r="T196" s="4"/>
      <c r="U196" s="135"/>
      <c r="V196" s="135"/>
      <c r="W196" s="4"/>
    </row>
    <row r="197" spans="3:23">
      <c r="C197" s="4"/>
      <c r="D197" s="135"/>
      <c r="E197" s="1564"/>
      <c r="F197" s="169"/>
      <c r="G197" s="4"/>
      <c r="H197" s="4"/>
      <c r="I197" s="4"/>
      <c r="J197" s="4"/>
      <c r="K197" s="4"/>
      <c r="L197" s="821"/>
      <c r="M197" s="538"/>
      <c r="N197" s="4"/>
      <c r="O197" s="4"/>
      <c r="P197" s="4"/>
      <c r="Q197" s="4"/>
      <c r="R197" s="4"/>
      <c r="S197" s="4"/>
      <c r="T197" s="4"/>
      <c r="U197" s="135"/>
      <c r="V197" s="135"/>
      <c r="W197" s="4"/>
    </row>
    <row r="198" spans="3:23">
      <c r="C198" s="4"/>
      <c r="D198" s="135"/>
      <c r="E198" s="1564"/>
      <c r="F198" s="169"/>
      <c r="G198" s="4"/>
      <c r="H198" s="4"/>
      <c r="I198" s="4"/>
      <c r="J198" s="4"/>
      <c r="K198" s="4"/>
      <c r="L198" s="821"/>
      <c r="M198" s="538"/>
      <c r="N198" s="4"/>
      <c r="O198" s="4"/>
      <c r="P198" s="4"/>
      <c r="Q198" s="4"/>
      <c r="R198" s="4"/>
      <c r="S198" s="4"/>
      <c r="T198" s="4"/>
      <c r="U198" s="135"/>
      <c r="V198" s="135"/>
      <c r="W198" s="4"/>
    </row>
    <row r="199" spans="3:23">
      <c r="C199" s="4"/>
      <c r="D199" s="135"/>
      <c r="E199" s="1564"/>
      <c r="F199" s="169"/>
      <c r="G199" s="4"/>
      <c r="H199" s="4"/>
      <c r="I199" s="4"/>
      <c r="J199" s="4"/>
      <c r="K199" s="4"/>
      <c r="L199" s="821"/>
      <c r="M199" s="538"/>
      <c r="N199" s="4"/>
      <c r="O199" s="4"/>
      <c r="P199" s="4"/>
      <c r="Q199" s="4"/>
      <c r="R199" s="4"/>
      <c r="S199" s="4"/>
      <c r="T199" s="4"/>
      <c r="U199" s="135"/>
      <c r="V199" s="135"/>
      <c r="W199" s="4"/>
    </row>
    <row r="200" spans="3:23">
      <c r="C200" s="4"/>
      <c r="D200" s="135"/>
      <c r="E200" s="1564"/>
      <c r="F200" s="169"/>
      <c r="G200" s="4"/>
      <c r="H200" s="4"/>
      <c r="I200" s="4"/>
      <c r="J200" s="4"/>
      <c r="K200" s="4"/>
      <c r="L200" s="821"/>
      <c r="M200" s="538"/>
      <c r="N200" s="4"/>
      <c r="O200" s="4"/>
      <c r="P200" s="4"/>
      <c r="Q200" s="4"/>
      <c r="R200" s="4"/>
      <c r="S200" s="4"/>
      <c r="T200" s="4"/>
      <c r="U200" s="135"/>
      <c r="V200" s="135"/>
      <c r="W200" s="4"/>
    </row>
    <row r="201" spans="3:23">
      <c r="C201" s="4"/>
      <c r="D201" s="135"/>
      <c r="E201" s="1564"/>
      <c r="F201" s="169"/>
      <c r="G201" s="4"/>
      <c r="H201" s="4"/>
      <c r="I201" s="4"/>
      <c r="J201" s="4"/>
      <c r="K201" s="4"/>
      <c r="L201" s="821"/>
      <c r="M201" s="538"/>
      <c r="N201" s="4"/>
      <c r="O201" s="4"/>
      <c r="P201" s="4"/>
      <c r="Q201" s="4"/>
      <c r="R201" s="4"/>
      <c r="S201" s="4"/>
      <c r="T201" s="4"/>
      <c r="U201" s="135"/>
      <c r="V201" s="135"/>
      <c r="W201" s="4"/>
    </row>
    <row r="202" spans="3:23">
      <c r="C202" s="4"/>
      <c r="D202" s="135"/>
      <c r="E202" s="1564"/>
      <c r="F202" s="169"/>
      <c r="G202" s="4"/>
      <c r="H202" s="4"/>
      <c r="I202" s="4"/>
      <c r="J202" s="4"/>
      <c r="K202" s="4"/>
      <c r="L202" s="821"/>
      <c r="M202" s="538"/>
      <c r="N202" s="4"/>
      <c r="O202" s="4"/>
      <c r="P202" s="4"/>
      <c r="Q202" s="4"/>
      <c r="R202" s="4"/>
      <c r="S202" s="4"/>
      <c r="T202" s="4"/>
      <c r="U202" s="135"/>
      <c r="V202" s="135"/>
      <c r="W202" s="4"/>
    </row>
    <row r="203" spans="3:23">
      <c r="C203" s="4"/>
      <c r="D203" s="135"/>
      <c r="E203" s="1564"/>
      <c r="F203" s="169"/>
      <c r="G203" s="4"/>
      <c r="H203" s="4"/>
      <c r="I203" s="4"/>
      <c r="J203" s="4"/>
      <c r="K203" s="4"/>
      <c r="L203" s="821"/>
      <c r="M203" s="538"/>
      <c r="N203" s="4"/>
      <c r="O203" s="4"/>
      <c r="P203" s="4"/>
      <c r="Q203" s="4"/>
      <c r="R203" s="4"/>
      <c r="S203" s="4"/>
      <c r="T203" s="4"/>
      <c r="U203" s="135"/>
      <c r="V203" s="135"/>
      <c r="W203" s="4"/>
    </row>
    <row r="204" spans="3:23">
      <c r="C204" s="4"/>
      <c r="D204" s="135"/>
      <c r="E204" s="1564"/>
      <c r="F204" s="169"/>
      <c r="G204" s="4"/>
      <c r="H204" s="4"/>
      <c r="I204" s="4"/>
      <c r="J204" s="4"/>
      <c r="K204" s="4"/>
      <c r="L204" s="821"/>
      <c r="M204" s="538"/>
      <c r="N204" s="4"/>
      <c r="O204" s="4"/>
      <c r="P204" s="4"/>
      <c r="Q204" s="4"/>
      <c r="R204" s="4"/>
      <c r="S204" s="4"/>
      <c r="T204" s="4"/>
      <c r="U204" s="135"/>
      <c r="V204" s="135"/>
      <c r="W204" s="4"/>
    </row>
    <row r="205" spans="3:23">
      <c r="C205" s="4"/>
      <c r="D205" s="135"/>
      <c r="E205" s="1564"/>
      <c r="F205" s="169"/>
      <c r="G205" s="4"/>
      <c r="H205" s="4"/>
      <c r="I205" s="4"/>
      <c r="J205" s="4"/>
      <c r="K205" s="4"/>
      <c r="L205" s="821"/>
      <c r="M205" s="538"/>
      <c r="N205" s="4"/>
      <c r="O205" s="4"/>
      <c r="P205" s="4"/>
      <c r="Q205" s="4"/>
      <c r="R205" s="4"/>
      <c r="S205" s="4"/>
      <c r="T205" s="4"/>
      <c r="U205" s="135"/>
      <c r="V205" s="135"/>
      <c r="W205" s="4"/>
    </row>
    <row r="206" spans="3:23">
      <c r="C206" s="4"/>
      <c r="D206" s="135"/>
      <c r="E206" s="1564"/>
      <c r="F206" s="169"/>
      <c r="G206" s="4"/>
      <c r="H206" s="4"/>
      <c r="I206" s="4"/>
      <c r="J206" s="4"/>
      <c r="K206" s="4"/>
      <c r="L206" s="821"/>
      <c r="M206" s="538"/>
      <c r="N206" s="4"/>
      <c r="O206" s="4"/>
      <c r="P206" s="4"/>
      <c r="Q206" s="4"/>
      <c r="R206" s="4"/>
      <c r="S206" s="4"/>
      <c r="T206" s="4"/>
      <c r="U206" s="135"/>
      <c r="V206" s="135"/>
      <c r="W206" s="4"/>
    </row>
    <row r="207" spans="3:23">
      <c r="C207" s="4"/>
      <c r="D207" s="135"/>
      <c r="E207" s="1564"/>
      <c r="F207" s="169"/>
      <c r="G207" s="4"/>
      <c r="H207" s="4"/>
      <c r="I207" s="4"/>
      <c r="J207" s="4"/>
      <c r="K207" s="4"/>
      <c r="L207" s="821"/>
      <c r="M207" s="538"/>
      <c r="N207" s="4"/>
      <c r="O207" s="4"/>
      <c r="P207" s="4"/>
      <c r="Q207" s="4"/>
      <c r="R207" s="4"/>
      <c r="S207" s="4"/>
      <c r="T207" s="4"/>
      <c r="U207" s="135"/>
      <c r="V207" s="135"/>
      <c r="W207" s="4"/>
    </row>
    <row r="208" spans="3:23">
      <c r="C208" s="4"/>
      <c r="D208" s="135"/>
      <c r="E208" s="1564"/>
      <c r="F208" s="169"/>
      <c r="G208" s="4"/>
      <c r="H208" s="4"/>
      <c r="I208" s="4"/>
      <c r="J208" s="4"/>
      <c r="K208" s="4"/>
      <c r="L208" s="821"/>
      <c r="M208" s="538"/>
      <c r="N208" s="4"/>
      <c r="O208" s="4"/>
      <c r="P208" s="4"/>
      <c r="Q208" s="4"/>
      <c r="R208" s="4"/>
      <c r="S208" s="4"/>
      <c r="T208" s="4"/>
      <c r="U208" s="135"/>
      <c r="V208" s="135"/>
      <c r="W208" s="4"/>
    </row>
    <row r="209" spans="3:23">
      <c r="C209" s="4"/>
      <c r="D209" s="135"/>
      <c r="E209" s="1564"/>
      <c r="F209" s="169"/>
      <c r="G209" s="4"/>
      <c r="H209" s="4"/>
      <c r="I209" s="4"/>
      <c r="J209" s="4"/>
      <c r="K209" s="4"/>
      <c r="L209" s="821"/>
      <c r="M209" s="538"/>
      <c r="N209" s="4"/>
      <c r="O209" s="4"/>
      <c r="P209" s="4"/>
      <c r="Q209" s="4"/>
      <c r="R209" s="4"/>
      <c r="S209" s="4"/>
      <c r="T209" s="4"/>
      <c r="U209" s="135"/>
      <c r="V209" s="135"/>
      <c r="W209" s="4"/>
    </row>
    <row r="210" spans="3:23">
      <c r="C210" s="4"/>
      <c r="D210" s="135"/>
      <c r="E210" s="1564"/>
      <c r="F210" s="169"/>
      <c r="G210" s="4"/>
      <c r="H210" s="4"/>
      <c r="I210" s="4"/>
      <c r="J210" s="4"/>
      <c r="K210" s="4"/>
      <c r="L210" s="821"/>
      <c r="M210" s="538"/>
      <c r="N210" s="4"/>
      <c r="O210" s="4"/>
      <c r="P210" s="4"/>
      <c r="Q210" s="4"/>
      <c r="R210" s="4"/>
      <c r="S210" s="4"/>
      <c r="T210" s="4"/>
      <c r="U210" s="135"/>
      <c r="V210" s="135"/>
      <c r="W210" s="4"/>
    </row>
    <row r="211" spans="3:23">
      <c r="C211" s="4"/>
      <c r="D211" s="135"/>
      <c r="E211" s="1564"/>
      <c r="F211" s="169"/>
      <c r="G211" s="4"/>
      <c r="H211" s="4"/>
      <c r="I211" s="4"/>
      <c r="J211" s="4"/>
      <c r="K211" s="4"/>
      <c r="L211" s="821"/>
      <c r="M211" s="538"/>
      <c r="N211" s="4"/>
      <c r="O211" s="4"/>
      <c r="P211" s="4"/>
      <c r="Q211" s="4"/>
      <c r="R211" s="4"/>
      <c r="S211" s="4"/>
      <c r="T211" s="4"/>
      <c r="U211" s="135"/>
      <c r="V211" s="135"/>
      <c r="W211" s="4"/>
    </row>
    <row r="212" spans="3:23">
      <c r="C212" s="4"/>
      <c r="D212" s="135"/>
      <c r="E212" s="1564"/>
      <c r="F212" s="169"/>
      <c r="G212" s="4"/>
      <c r="H212" s="4"/>
      <c r="I212" s="4"/>
      <c r="J212" s="4"/>
      <c r="K212" s="4"/>
      <c r="L212" s="821"/>
      <c r="M212" s="538"/>
      <c r="N212" s="4"/>
      <c r="O212" s="4"/>
      <c r="P212" s="4"/>
      <c r="Q212" s="4"/>
      <c r="R212" s="4"/>
      <c r="S212" s="4"/>
      <c r="T212" s="4"/>
      <c r="U212" s="135"/>
      <c r="V212" s="135"/>
      <c r="W212" s="4"/>
    </row>
    <row r="213" spans="3:23">
      <c r="C213" s="4"/>
      <c r="D213" s="135"/>
      <c r="E213" s="1564"/>
      <c r="F213" s="169"/>
      <c r="G213" s="4"/>
      <c r="H213" s="4"/>
      <c r="I213" s="4"/>
      <c r="J213" s="4"/>
      <c r="K213" s="4"/>
      <c r="L213" s="821"/>
      <c r="M213" s="538"/>
      <c r="N213" s="4"/>
      <c r="O213" s="4"/>
      <c r="P213" s="4"/>
      <c r="Q213" s="4"/>
      <c r="R213" s="4"/>
      <c r="S213" s="4"/>
      <c r="T213" s="4"/>
      <c r="U213" s="135"/>
      <c r="V213" s="135"/>
      <c r="W213" s="4"/>
    </row>
    <row r="214" spans="3:23">
      <c r="C214" s="4"/>
      <c r="D214" s="135"/>
      <c r="E214" s="1564"/>
      <c r="F214" s="169"/>
      <c r="G214" s="4"/>
      <c r="H214" s="4"/>
      <c r="I214" s="4"/>
      <c r="J214" s="4"/>
      <c r="K214" s="4"/>
      <c r="L214" s="821"/>
      <c r="M214" s="538"/>
      <c r="N214" s="4"/>
      <c r="O214" s="4"/>
      <c r="P214" s="4"/>
      <c r="Q214" s="4"/>
      <c r="R214" s="4"/>
      <c r="S214" s="4"/>
      <c r="T214" s="4"/>
      <c r="U214" s="135"/>
      <c r="V214" s="135"/>
      <c r="W214" s="4"/>
    </row>
    <row r="215" spans="3:23">
      <c r="C215" s="4"/>
      <c r="D215" s="135"/>
      <c r="E215" s="1564"/>
      <c r="F215" s="169"/>
      <c r="G215" s="4"/>
      <c r="H215" s="4"/>
      <c r="I215" s="4"/>
      <c r="J215" s="4"/>
      <c r="K215" s="4"/>
      <c r="L215" s="821"/>
      <c r="M215" s="538"/>
      <c r="N215" s="4"/>
      <c r="O215" s="4"/>
      <c r="P215" s="4"/>
      <c r="Q215" s="4"/>
      <c r="R215" s="4"/>
      <c r="S215" s="4"/>
      <c r="T215" s="4"/>
      <c r="U215" s="135"/>
      <c r="V215" s="135"/>
      <c r="W215" s="4"/>
    </row>
    <row r="216" spans="3:23">
      <c r="C216" s="4"/>
      <c r="D216" s="135"/>
      <c r="E216" s="1564"/>
      <c r="F216" s="169"/>
      <c r="G216" s="4"/>
      <c r="H216" s="4"/>
      <c r="I216" s="4"/>
      <c r="J216" s="4"/>
      <c r="K216" s="4"/>
      <c r="L216" s="821"/>
      <c r="M216" s="538"/>
      <c r="N216" s="4"/>
      <c r="O216" s="4"/>
      <c r="P216" s="4"/>
      <c r="Q216" s="4"/>
      <c r="R216" s="4"/>
      <c r="S216" s="4"/>
      <c r="T216" s="4"/>
      <c r="U216" s="135"/>
      <c r="V216" s="135"/>
      <c r="W216" s="4"/>
    </row>
    <row r="217" spans="3:23">
      <c r="C217" s="4"/>
      <c r="D217" s="135"/>
      <c r="E217" s="1564"/>
      <c r="F217" s="169"/>
      <c r="G217" s="4"/>
      <c r="H217" s="4"/>
      <c r="I217" s="4"/>
      <c r="J217" s="4"/>
      <c r="K217" s="4"/>
      <c r="L217" s="821"/>
      <c r="M217" s="538"/>
      <c r="N217" s="4"/>
      <c r="O217" s="4"/>
      <c r="P217" s="4"/>
      <c r="Q217" s="4"/>
      <c r="R217" s="4"/>
      <c r="S217" s="4"/>
      <c r="T217" s="4"/>
      <c r="U217" s="135"/>
      <c r="V217" s="135"/>
      <c r="W217" s="4"/>
    </row>
    <row r="218" spans="3:23">
      <c r="C218" s="4"/>
      <c r="D218" s="135"/>
      <c r="E218" s="1564"/>
      <c r="F218" s="169"/>
      <c r="G218" s="4"/>
      <c r="H218" s="4"/>
      <c r="I218" s="4"/>
      <c r="J218" s="4"/>
      <c r="K218" s="4"/>
      <c r="L218" s="821"/>
      <c r="M218" s="538"/>
      <c r="N218" s="4"/>
      <c r="O218" s="4"/>
      <c r="P218" s="4"/>
      <c r="Q218" s="4"/>
      <c r="R218" s="4"/>
      <c r="S218" s="4"/>
      <c r="T218" s="4"/>
      <c r="U218" s="135"/>
      <c r="V218" s="135"/>
      <c r="W218" s="4"/>
    </row>
    <row r="219" spans="3:23">
      <c r="C219" s="4"/>
      <c r="D219" s="135"/>
      <c r="E219" s="1564"/>
      <c r="F219" s="169"/>
      <c r="G219" s="4"/>
      <c r="H219" s="4"/>
      <c r="I219" s="4"/>
      <c r="J219" s="4"/>
      <c r="K219" s="4"/>
      <c r="L219" s="821"/>
      <c r="M219" s="538"/>
      <c r="N219" s="4"/>
      <c r="O219" s="4"/>
      <c r="P219" s="4"/>
      <c r="Q219" s="4"/>
      <c r="R219" s="4"/>
      <c r="S219" s="4"/>
      <c r="T219" s="4"/>
      <c r="U219" s="135"/>
      <c r="V219" s="135"/>
      <c r="W219" s="4"/>
    </row>
    <row r="220" spans="3:23">
      <c r="C220" s="4"/>
      <c r="D220" s="135"/>
      <c r="E220" s="1564"/>
      <c r="F220" s="169"/>
      <c r="G220" s="4"/>
      <c r="H220" s="4"/>
      <c r="I220" s="4"/>
      <c r="J220" s="4"/>
      <c r="K220" s="4"/>
      <c r="L220" s="821"/>
      <c r="M220" s="538"/>
      <c r="N220" s="4"/>
      <c r="O220" s="4"/>
      <c r="P220" s="4"/>
      <c r="Q220" s="4"/>
      <c r="R220" s="4"/>
      <c r="S220" s="4"/>
      <c r="T220" s="4"/>
      <c r="U220" s="135"/>
      <c r="V220" s="135"/>
      <c r="W220" s="4"/>
    </row>
    <row r="221" spans="3:23">
      <c r="C221" s="4"/>
      <c r="D221" s="135"/>
      <c r="E221" s="1564"/>
      <c r="F221" s="169"/>
      <c r="G221" s="4"/>
      <c r="H221" s="4"/>
      <c r="I221" s="4"/>
      <c r="J221" s="4"/>
      <c r="K221" s="4"/>
      <c r="L221" s="821"/>
      <c r="M221" s="538"/>
      <c r="N221" s="4"/>
      <c r="O221" s="4"/>
      <c r="P221" s="4"/>
      <c r="Q221" s="4"/>
      <c r="R221" s="4"/>
      <c r="S221" s="4"/>
      <c r="T221" s="4"/>
      <c r="U221" s="135"/>
      <c r="V221" s="135"/>
      <c r="W221" s="4"/>
    </row>
    <row r="222" spans="3:23">
      <c r="C222" s="4"/>
      <c r="D222" s="135"/>
      <c r="E222" s="1564"/>
      <c r="F222" s="169"/>
      <c r="G222" s="4"/>
      <c r="H222" s="4"/>
      <c r="I222" s="4"/>
      <c r="J222" s="4"/>
      <c r="K222" s="4"/>
      <c r="L222" s="821"/>
      <c r="M222" s="538"/>
      <c r="N222" s="4"/>
      <c r="O222" s="4"/>
      <c r="P222" s="4"/>
      <c r="Q222" s="4"/>
      <c r="R222" s="4"/>
      <c r="S222" s="4"/>
      <c r="T222" s="4"/>
      <c r="U222" s="135"/>
      <c r="V222" s="135"/>
      <c r="W222" s="4"/>
    </row>
    <row r="223" spans="3:23">
      <c r="C223" s="4"/>
      <c r="D223" s="135"/>
      <c r="E223" s="1564"/>
      <c r="F223" s="169"/>
      <c r="G223" s="4"/>
      <c r="H223" s="4"/>
      <c r="I223" s="4"/>
      <c r="J223" s="4"/>
      <c r="K223" s="4"/>
      <c r="L223" s="821"/>
      <c r="M223" s="538"/>
      <c r="N223" s="4"/>
      <c r="O223" s="4"/>
      <c r="P223" s="4"/>
      <c r="Q223" s="4"/>
      <c r="R223" s="4"/>
      <c r="S223" s="4"/>
      <c r="T223" s="4"/>
      <c r="U223" s="135"/>
      <c r="V223" s="135"/>
      <c r="W223" s="4"/>
    </row>
    <row r="224" spans="3:23">
      <c r="C224" s="4"/>
      <c r="D224" s="135"/>
      <c r="E224" s="1564"/>
      <c r="F224" s="169"/>
      <c r="G224" s="4"/>
      <c r="H224" s="4"/>
      <c r="I224" s="4"/>
      <c r="J224" s="4"/>
      <c r="K224" s="4"/>
      <c r="L224" s="821"/>
      <c r="M224" s="538"/>
      <c r="N224" s="4"/>
      <c r="O224" s="4"/>
      <c r="P224" s="4"/>
      <c r="Q224" s="4"/>
      <c r="R224" s="4"/>
      <c r="S224" s="4"/>
      <c r="T224" s="4"/>
      <c r="U224" s="135"/>
      <c r="V224" s="135"/>
      <c r="W224" s="4"/>
    </row>
    <row r="225" spans="3:23">
      <c r="C225" s="4"/>
      <c r="D225" s="135"/>
      <c r="E225" s="1564"/>
      <c r="F225" s="169"/>
      <c r="G225" s="4"/>
      <c r="H225" s="4"/>
      <c r="I225" s="4"/>
      <c r="J225" s="4"/>
      <c r="K225" s="4"/>
      <c r="L225" s="821"/>
      <c r="M225" s="538"/>
      <c r="N225" s="4"/>
      <c r="O225" s="4"/>
      <c r="P225" s="4"/>
      <c r="Q225" s="4"/>
      <c r="R225" s="4"/>
      <c r="S225" s="4"/>
      <c r="T225" s="4"/>
      <c r="U225" s="135"/>
      <c r="V225" s="135"/>
      <c r="W225" s="4"/>
    </row>
    <row r="226" spans="3:23">
      <c r="C226" s="4"/>
      <c r="D226" s="135"/>
      <c r="E226" s="1564"/>
      <c r="F226" s="169"/>
      <c r="G226" s="4"/>
      <c r="H226" s="4"/>
      <c r="I226" s="4"/>
      <c r="J226" s="4"/>
      <c r="K226" s="4"/>
      <c r="L226" s="821"/>
      <c r="M226" s="538"/>
      <c r="N226" s="4"/>
      <c r="O226" s="4"/>
      <c r="P226" s="4"/>
      <c r="Q226" s="4"/>
      <c r="R226" s="4"/>
      <c r="S226" s="4"/>
      <c r="T226" s="4"/>
      <c r="U226" s="135"/>
      <c r="V226" s="135"/>
      <c r="W226" s="4"/>
    </row>
    <row r="227" spans="3:23">
      <c r="C227" s="4"/>
      <c r="D227" s="135"/>
      <c r="E227" s="1564"/>
      <c r="F227" s="169"/>
      <c r="G227" s="4"/>
      <c r="H227" s="4"/>
      <c r="I227" s="4"/>
      <c r="J227" s="4"/>
      <c r="K227" s="4"/>
      <c r="L227" s="821"/>
      <c r="M227" s="538"/>
      <c r="N227" s="4"/>
      <c r="O227" s="4"/>
      <c r="P227" s="4"/>
      <c r="Q227" s="4"/>
      <c r="R227" s="4"/>
      <c r="S227" s="4"/>
      <c r="T227" s="4"/>
      <c r="U227" s="135"/>
      <c r="V227" s="135"/>
      <c r="W227" s="4"/>
    </row>
    <row r="228" spans="3:23">
      <c r="C228" s="4"/>
      <c r="D228" s="135"/>
      <c r="E228" s="1564"/>
      <c r="F228" s="169"/>
      <c r="G228" s="4"/>
      <c r="H228" s="4"/>
      <c r="I228" s="4"/>
      <c r="J228" s="4"/>
      <c r="K228" s="4"/>
      <c r="L228" s="821"/>
      <c r="M228" s="538"/>
      <c r="N228" s="4"/>
      <c r="O228" s="4"/>
      <c r="P228" s="4"/>
      <c r="Q228" s="4"/>
      <c r="R228" s="4"/>
      <c r="S228" s="4"/>
      <c r="T228" s="4"/>
      <c r="U228" s="135"/>
      <c r="V228" s="135"/>
      <c r="W228" s="4"/>
    </row>
    <row r="229" spans="3:23">
      <c r="C229" s="4"/>
      <c r="D229" s="135"/>
      <c r="E229" s="1564"/>
      <c r="F229" s="169"/>
      <c r="G229" s="4"/>
      <c r="H229" s="4"/>
      <c r="I229" s="4"/>
      <c r="J229" s="4"/>
      <c r="K229" s="4"/>
      <c r="L229" s="821"/>
      <c r="M229" s="538"/>
      <c r="N229" s="4"/>
      <c r="O229" s="4"/>
      <c r="P229" s="4"/>
      <c r="Q229" s="4"/>
      <c r="R229" s="4"/>
      <c r="S229" s="4"/>
      <c r="T229" s="4"/>
      <c r="U229" s="135"/>
      <c r="V229" s="135"/>
      <c r="W229" s="4"/>
    </row>
    <row r="230" spans="3:23">
      <c r="C230" s="4"/>
      <c r="D230" s="135"/>
      <c r="E230" s="1564"/>
      <c r="F230" s="169"/>
      <c r="G230" s="4"/>
      <c r="H230" s="4"/>
      <c r="I230" s="4"/>
      <c r="J230" s="4"/>
      <c r="K230" s="4"/>
      <c r="L230" s="821"/>
      <c r="M230" s="538"/>
      <c r="N230" s="4"/>
      <c r="O230" s="4"/>
      <c r="P230" s="4"/>
      <c r="Q230" s="4"/>
      <c r="R230" s="4"/>
      <c r="S230" s="4"/>
      <c r="T230" s="4"/>
      <c r="U230" s="135"/>
      <c r="V230" s="135"/>
      <c r="W230" s="4"/>
    </row>
    <row r="231" spans="3:23">
      <c r="C231" s="4"/>
      <c r="D231" s="135"/>
      <c r="E231" s="1564"/>
      <c r="F231" s="169"/>
      <c r="G231" s="4"/>
      <c r="H231" s="4"/>
      <c r="I231" s="4"/>
      <c r="J231" s="4"/>
      <c r="K231" s="4"/>
      <c r="L231" s="821"/>
      <c r="M231" s="538"/>
      <c r="N231" s="4"/>
      <c r="O231" s="4"/>
      <c r="P231" s="4"/>
      <c r="Q231" s="4"/>
      <c r="R231" s="4"/>
      <c r="S231" s="4"/>
      <c r="T231" s="4"/>
      <c r="U231" s="135"/>
      <c r="V231" s="135"/>
      <c r="W231" s="4"/>
    </row>
    <row r="232" spans="3:23">
      <c r="C232" s="4"/>
      <c r="D232" s="135"/>
      <c r="E232" s="1564"/>
      <c r="F232" s="169"/>
      <c r="G232" s="4"/>
      <c r="H232" s="4"/>
      <c r="I232" s="4"/>
      <c r="J232" s="4"/>
      <c r="K232" s="4"/>
      <c r="L232" s="821"/>
      <c r="M232" s="538"/>
      <c r="N232" s="4"/>
      <c r="O232" s="4"/>
      <c r="P232" s="4"/>
      <c r="Q232" s="4"/>
      <c r="R232" s="4"/>
      <c r="S232" s="4"/>
      <c r="T232" s="4"/>
      <c r="U232" s="135"/>
      <c r="V232" s="135"/>
      <c r="W232" s="4"/>
    </row>
    <row r="233" spans="3:23">
      <c r="C233" s="4"/>
      <c r="D233" s="135"/>
      <c r="E233" s="1564"/>
      <c r="F233" s="169"/>
      <c r="G233" s="4"/>
      <c r="H233" s="4"/>
      <c r="I233" s="4"/>
      <c r="J233" s="4"/>
      <c r="K233" s="4"/>
      <c r="L233" s="821"/>
      <c r="M233" s="538"/>
      <c r="N233" s="4"/>
      <c r="O233" s="4"/>
      <c r="P233" s="4"/>
      <c r="Q233" s="4"/>
      <c r="R233" s="4"/>
      <c r="S233" s="4"/>
      <c r="T233" s="4"/>
      <c r="U233" s="135"/>
      <c r="V233" s="135"/>
      <c r="W233" s="4"/>
    </row>
    <row r="234" spans="3:23">
      <c r="C234" s="4"/>
      <c r="D234" s="135"/>
      <c r="E234" s="1564"/>
      <c r="F234" s="169"/>
      <c r="G234" s="4"/>
      <c r="H234" s="4"/>
      <c r="I234" s="4"/>
      <c r="J234" s="4"/>
      <c r="K234" s="4"/>
      <c r="L234" s="821"/>
      <c r="M234" s="538"/>
      <c r="N234" s="4"/>
      <c r="O234" s="4"/>
      <c r="P234" s="4"/>
      <c r="Q234" s="4"/>
      <c r="R234" s="4"/>
      <c r="S234" s="4"/>
      <c r="T234" s="4"/>
      <c r="U234" s="135"/>
      <c r="V234" s="135"/>
      <c r="W234" s="4"/>
    </row>
    <row r="235" spans="3:23">
      <c r="C235" s="4"/>
      <c r="D235" s="135"/>
      <c r="E235" s="1564"/>
      <c r="F235" s="169"/>
      <c r="G235" s="4"/>
      <c r="H235" s="4"/>
      <c r="I235" s="4"/>
      <c r="J235" s="4"/>
      <c r="K235" s="4"/>
      <c r="L235" s="821"/>
      <c r="M235" s="538"/>
      <c r="N235" s="4"/>
      <c r="O235" s="4"/>
      <c r="P235" s="4"/>
      <c r="Q235" s="4"/>
      <c r="R235" s="4"/>
      <c r="S235" s="4"/>
      <c r="T235" s="4"/>
      <c r="U235" s="135"/>
      <c r="V235" s="135"/>
      <c r="W235" s="4"/>
    </row>
    <row r="236" spans="3:23">
      <c r="C236" s="4"/>
      <c r="D236" s="135"/>
      <c r="E236" s="1564"/>
      <c r="F236" s="169"/>
      <c r="G236" s="4"/>
      <c r="H236" s="4"/>
      <c r="I236" s="4"/>
      <c r="J236" s="4"/>
      <c r="K236" s="4"/>
      <c r="L236" s="821"/>
      <c r="M236" s="538"/>
      <c r="N236" s="4"/>
      <c r="O236" s="4"/>
      <c r="P236" s="4"/>
      <c r="Q236" s="4"/>
      <c r="R236" s="4"/>
      <c r="S236" s="4"/>
      <c r="T236" s="4"/>
      <c r="U236" s="135"/>
      <c r="V236" s="135"/>
      <c r="W236" s="4"/>
    </row>
    <row r="237" spans="3:23">
      <c r="C237" s="4"/>
      <c r="D237" s="135"/>
      <c r="E237" s="1564"/>
      <c r="F237" s="169"/>
      <c r="G237" s="4"/>
      <c r="H237" s="4"/>
      <c r="I237" s="4"/>
      <c r="J237" s="4"/>
      <c r="K237" s="4"/>
      <c r="L237" s="821"/>
      <c r="M237" s="538"/>
      <c r="N237" s="4"/>
      <c r="O237" s="4"/>
      <c r="P237" s="4"/>
      <c r="Q237" s="4"/>
      <c r="R237" s="4"/>
      <c r="S237" s="4"/>
      <c r="T237" s="4"/>
      <c r="U237" s="135"/>
      <c r="V237" s="135"/>
      <c r="W237" s="4"/>
    </row>
    <row r="238" spans="3:23">
      <c r="C238" s="4"/>
      <c r="D238" s="135"/>
      <c r="E238" s="1564"/>
      <c r="F238" s="169"/>
      <c r="G238" s="4"/>
      <c r="H238" s="4"/>
      <c r="I238" s="4"/>
      <c r="J238" s="4"/>
      <c r="K238" s="4"/>
      <c r="L238" s="821"/>
      <c r="M238" s="538"/>
      <c r="N238" s="4"/>
      <c r="O238" s="4"/>
      <c r="P238" s="4"/>
      <c r="Q238" s="4"/>
      <c r="R238" s="4"/>
      <c r="S238" s="4"/>
      <c r="T238" s="4"/>
      <c r="U238" s="135"/>
      <c r="V238" s="135"/>
      <c r="W238" s="4"/>
    </row>
    <row r="239" spans="3:23">
      <c r="C239" s="4"/>
      <c r="D239" s="135"/>
      <c r="E239" s="1564"/>
      <c r="F239" s="169"/>
      <c r="G239" s="4"/>
      <c r="H239" s="4"/>
      <c r="I239" s="4"/>
      <c r="J239" s="4"/>
      <c r="K239" s="4"/>
      <c r="L239" s="821"/>
      <c r="M239" s="538"/>
      <c r="N239" s="4"/>
      <c r="O239" s="4"/>
      <c r="P239" s="4"/>
      <c r="Q239" s="4"/>
      <c r="R239" s="4"/>
      <c r="S239" s="4"/>
      <c r="T239" s="4"/>
      <c r="U239" s="135"/>
      <c r="V239" s="135"/>
      <c r="W239" s="4"/>
    </row>
    <row r="240" spans="3:23">
      <c r="C240" s="4"/>
      <c r="D240" s="135"/>
      <c r="E240" s="1564"/>
      <c r="F240" s="169"/>
      <c r="G240" s="4"/>
      <c r="H240" s="4"/>
      <c r="I240" s="4"/>
      <c r="J240" s="4"/>
      <c r="K240" s="4"/>
      <c r="L240" s="821"/>
      <c r="M240" s="538"/>
      <c r="N240" s="4"/>
      <c r="O240" s="4"/>
      <c r="P240" s="4"/>
      <c r="Q240" s="4"/>
      <c r="R240" s="4"/>
      <c r="S240" s="4"/>
      <c r="T240" s="4"/>
      <c r="U240" s="135"/>
      <c r="V240" s="135"/>
      <c r="W240" s="4"/>
    </row>
    <row r="241" spans="3:23">
      <c r="C241" s="4"/>
      <c r="D241" s="135"/>
      <c r="E241" s="1564"/>
      <c r="F241" s="169"/>
      <c r="G241" s="4"/>
      <c r="H241" s="4"/>
      <c r="I241" s="4"/>
      <c r="J241" s="4"/>
      <c r="K241" s="4"/>
      <c r="L241" s="821"/>
      <c r="M241" s="538"/>
      <c r="N241" s="4"/>
      <c r="O241" s="4"/>
      <c r="P241" s="4"/>
      <c r="Q241" s="4"/>
      <c r="R241" s="4"/>
      <c r="S241" s="4"/>
      <c r="T241" s="4"/>
      <c r="U241" s="135"/>
      <c r="V241" s="135"/>
      <c r="W241" s="4"/>
    </row>
    <row r="242" spans="3:23">
      <c r="C242" s="4"/>
      <c r="D242" s="135"/>
      <c r="E242" s="1564"/>
      <c r="F242" s="169"/>
      <c r="G242" s="4"/>
      <c r="H242" s="4"/>
      <c r="I242" s="4"/>
      <c r="J242" s="4"/>
      <c r="K242" s="4"/>
      <c r="L242" s="821"/>
      <c r="M242" s="538"/>
      <c r="N242" s="4"/>
      <c r="O242" s="4"/>
      <c r="P242" s="4"/>
      <c r="Q242" s="4"/>
      <c r="R242" s="4"/>
      <c r="S242" s="4"/>
      <c r="T242" s="4"/>
      <c r="U242" s="135"/>
      <c r="V242" s="135"/>
      <c r="W242" s="4"/>
    </row>
    <row r="243" spans="3:23">
      <c r="C243" s="4"/>
      <c r="D243" s="135"/>
      <c r="E243" s="1564"/>
      <c r="F243" s="169"/>
      <c r="G243" s="4"/>
      <c r="H243" s="4"/>
      <c r="I243" s="4"/>
      <c r="J243" s="4"/>
      <c r="K243" s="4"/>
      <c r="L243" s="821"/>
      <c r="M243" s="538"/>
      <c r="N243" s="4"/>
      <c r="O243" s="4"/>
      <c r="P243" s="4"/>
      <c r="Q243" s="4"/>
      <c r="R243" s="4"/>
      <c r="S243" s="4"/>
      <c r="T243" s="4"/>
      <c r="U243" s="135"/>
      <c r="V243" s="135"/>
      <c r="W243" s="4"/>
    </row>
    <row r="244" spans="3:23">
      <c r="C244" s="4"/>
      <c r="D244" s="135"/>
      <c r="E244" s="1564"/>
      <c r="F244" s="169"/>
      <c r="G244" s="4"/>
      <c r="H244" s="4"/>
      <c r="I244" s="4"/>
      <c r="J244" s="4"/>
      <c r="K244" s="4"/>
      <c r="L244" s="821"/>
      <c r="M244" s="538"/>
      <c r="N244" s="4"/>
      <c r="O244" s="4"/>
      <c r="P244" s="4"/>
      <c r="Q244" s="4"/>
      <c r="R244" s="4"/>
      <c r="S244" s="4"/>
      <c r="T244" s="4"/>
      <c r="U244" s="135"/>
      <c r="V244" s="135"/>
      <c r="W244" s="4"/>
    </row>
    <row r="245" spans="3:23">
      <c r="C245" s="4"/>
      <c r="D245" s="135"/>
      <c r="E245" s="1564"/>
      <c r="F245" s="169"/>
      <c r="G245" s="4"/>
      <c r="H245" s="4"/>
      <c r="I245" s="4"/>
      <c r="J245" s="4"/>
      <c r="K245" s="4"/>
      <c r="L245" s="821"/>
      <c r="M245" s="538"/>
      <c r="N245" s="4"/>
      <c r="O245" s="4"/>
      <c r="P245" s="4"/>
      <c r="Q245" s="4"/>
      <c r="R245" s="4"/>
      <c r="S245" s="4"/>
      <c r="T245" s="4"/>
      <c r="U245" s="135"/>
      <c r="V245" s="135"/>
      <c r="W245" s="4"/>
    </row>
    <row r="246" spans="3:23">
      <c r="C246" s="4"/>
      <c r="D246" s="135"/>
      <c r="E246" s="1564"/>
      <c r="F246" s="169"/>
      <c r="G246" s="4"/>
      <c r="H246" s="4"/>
      <c r="I246" s="4"/>
      <c r="J246" s="4"/>
      <c r="K246" s="4"/>
      <c r="L246" s="821"/>
      <c r="M246" s="538"/>
      <c r="N246" s="4"/>
      <c r="O246" s="4"/>
      <c r="P246" s="4"/>
      <c r="Q246" s="4"/>
      <c r="R246" s="4"/>
      <c r="S246" s="4"/>
      <c r="T246" s="4"/>
      <c r="U246" s="135"/>
      <c r="V246" s="135"/>
      <c r="W246" s="4"/>
    </row>
    <row r="247" spans="3:23">
      <c r="C247" s="4"/>
      <c r="D247" s="135"/>
      <c r="E247" s="1564"/>
      <c r="F247" s="169"/>
      <c r="G247" s="4"/>
      <c r="H247" s="4"/>
      <c r="I247" s="4"/>
      <c r="J247" s="4"/>
      <c r="K247" s="4"/>
      <c r="L247" s="821"/>
      <c r="M247" s="538"/>
      <c r="N247" s="4"/>
      <c r="O247" s="4"/>
      <c r="P247" s="4"/>
      <c r="Q247" s="4"/>
      <c r="R247" s="4"/>
      <c r="S247" s="4"/>
      <c r="T247" s="4"/>
      <c r="U247" s="135"/>
      <c r="V247" s="135"/>
      <c r="W247" s="4"/>
    </row>
    <row r="248" spans="3:23">
      <c r="C248" s="4"/>
      <c r="D248" s="135"/>
      <c r="E248" s="1564"/>
      <c r="F248" s="169"/>
      <c r="G248" s="4"/>
      <c r="H248" s="4"/>
      <c r="I248" s="4"/>
      <c r="J248" s="4"/>
      <c r="K248" s="4"/>
      <c r="L248" s="821"/>
      <c r="M248" s="538"/>
      <c r="N248" s="4"/>
      <c r="O248" s="4"/>
      <c r="P248" s="4"/>
      <c r="Q248" s="4"/>
      <c r="R248" s="4"/>
      <c r="S248" s="4"/>
      <c r="T248" s="4"/>
      <c r="U248" s="135"/>
      <c r="V248" s="135"/>
      <c r="W248" s="4"/>
    </row>
    <row r="249" spans="3:23">
      <c r="C249" s="4"/>
      <c r="D249" s="135"/>
      <c r="E249" s="1564"/>
      <c r="F249" s="169"/>
      <c r="G249" s="4"/>
      <c r="H249" s="4"/>
      <c r="I249" s="4"/>
      <c r="J249" s="4"/>
      <c r="K249" s="4"/>
      <c r="L249" s="821"/>
      <c r="M249" s="538"/>
      <c r="N249" s="4"/>
      <c r="O249" s="4"/>
      <c r="P249" s="4"/>
      <c r="Q249" s="4"/>
      <c r="R249" s="4"/>
      <c r="S249" s="4"/>
      <c r="T249" s="4"/>
      <c r="U249" s="135"/>
      <c r="V249" s="135"/>
      <c r="W249" s="4"/>
    </row>
    <row r="250" spans="3:23">
      <c r="C250" s="4"/>
      <c r="D250" s="135"/>
      <c r="E250" s="1564"/>
      <c r="F250" s="169"/>
      <c r="G250" s="4"/>
      <c r="H250" s="4"/>
      <c r="I250" s="4"/>
      <c r="J250" s="4"/>
      <c r="K250" s="4"/>
      <c r="L250" s="821"/>
      <c r="M250" s="538"/>
      <c r="N250" s="4"/>
      <c r="O250" s="4"/>
      <c r="P250" s="4"/>
      <c r="Q250" s="4"/>
      <c r="R250" s="4"/>
      <c r="S250" s="4"/>
      <c r="T250" s="4"/>
      <c r="U250" s="135"/>
      <c r="V250" s="135"/>
      <c r="W250" s="4"/>
    </row>
    <row r="251" spans="3:23">
      <c r="C251" s="4"/>
      <c r="D251" s="135"/>
      <c r="E251" s="1564"/>
      <c r="F251" s="169"/>
      <c r="G251" s="4"/>
      <c r="H251" s="4"/>
      <c r="I251" s="4"/>
      <c r="J251" s="4"/>
      <c r="K251" s="4"/>
      <c r="L251" s="821"/>
      <c r="M251" s="538"/>
      <c r="N251" s="4"/>
      <c r="O251" s="4"/>
      <c r="P251" s="4"/>
      <c r="Q251" s="4"/>
      <c r="R251" s="4"/>
      <c r="S251" s="4"/>
      <c r="T251" s="4"/>
      <c r="U251" s="135"/>
      <c r="V251" s="135"/>
      <c r="W251" s="4"/>
    </row>
    <row r="252" spans="3:23">
      <c r="C252" s="4"/>
      <c r="D252" s="135"/>
      <c r="E252" s="1564"/>
      <c r="F252" s="169"/>
      <c r="G252" s="4"/>
      <c r="H252" s="4"/>
      <c r="I252" s="4"/>
      <c r="J252" s="4"/>
      <c r="K252" s="4"/>
      <c r="L252" s="821"/>
      <c r="M252" s="538"/>
      <c r="N252" s="4"/>
      <c r="O252" s="4"/>
      <c r="P252" s="4"/>
      <c r="Q252" s="4"/>
      <c r="R252" s="4"/>
      <c r="S252" s="4"/>
      <c r="T252" s="4"/>
      <c r="U252" s="135"/>
      <c r="V252" s="135"/>
      <c r="W252" s="4"/>
    </row>
    <row r="253" spans="3:23">
      <c r="C253" s="4"/>
      <c r="D253" s="135"/>
      <c r="E253" s="1564"/>
      <c r="F253" s="169"/>
      <c r="G253" s="4"/>
      <c r="H253" s="4"/>
      <c r="I253" s="4"/>
      <c r="J253" s="4"/>
      <c r="K253" s="4"/>
      <c r="L253" s="821"/>
      <c r="M253" s="538"/>
      <c r="N253" s="4"/>
      <c r="O253" s="4"/>
      <c r="P253" s="4"/>
      <c r="Q253" s="4"/>
      <c r="R253" s="4"/>
      <c r="S253" s="4"/>
      <c r="T253" s="4"/>
      <c r="U253" s="135"/>
      <c r="V253" s="135"/>
      <c r="W253" s="4"/>
    </row>
    <row r="254" spans="3:23">
      <c r="C254" s="4"/>
      <c r="D254" s="135"/>
      <c r="E254" s="1564"/>
      <c r="F254" s="169"/>
      <c r="G254" s="4"/>
      <c r="H254" s="4"/>
      <c r="I254" s="4"/>
      <c r="J254" s="4"/>
      <c r="K254" s="4"/>
      <c r="L254" s="821"/>
      <c r="M254" s="538"/>
      <c r="N254" s="4"/>
      <c r="O254" s="4"/>
      <c r="P254" s="4"/>
      <c r="Q254" s="4"/>
      <c r="R254" s="4"/>
      <c r="S254" s="4"/>
      <c r="T254" s="4"/>
      <c r="U254" s="135"/>
      <c r="V254" s="135"/>
      <c r="W254" s="4"/>
    </row>
    <row r="255" spans="3:23">
      <c r="C255" s="4"/>
      <c r="D255" s="135"/>
      <c r="E255" s="1564"/>
      <c r="F255" s="169"/>
      <c r="G255" s="4"/>
      <c r="H255" s="4"/>
      <c r="I255" s="4"/>
      <c r="J255" s="4"/>
      <c r="K255" s="4"/>
      <c r="L255" s="821"/>
      <c r="M255" s="538"/>
      <c r="N255" s="4"/>
      <c r="O255" s="4"/>
      <c r="P255" s="4"/>
      <c r="Q255" s="4"/>
      <c r="R255" s="4"/>
      <c r="S255" s="4"/>
      <c r="T255" s="4"/>
      <c r="U255" s="135"/>
      <c r="V255" s="135"/>
      <c r="W255" s="4"/>
    </row>
    <row r="256" spans="3:23">
      <c r="C256" s="4"/>
      <c r="D256" s="135"/>
      <c r="E256" s="1564"/>
      <c r="F256" s="169"/>
      <c r="G256" s="4"/>
      <c r="H256" s="4"/>
      <c r="I256" s="4"/>
      <c r="J256" s="4"/>
      <c r="K256" s="4"/>
      <c r="L256" s="821"/>
      <c r="M256" s="538"/>
      <c r="N256" s="4"/>
      <c r="O256" s="4"/>
      <c r="P256" s="4"/>
      <c r="Q256" s="4"/>
      <c r="R256" s="4"/>
      <c r="S256" s="4"/>
      <c r="T256" s="4"/>
      <c r="U256" s="135"/>
      <c r="V256" s="135"/>
      <c r="W256" s="4"/>
    </row>
    <row r="257" spans="3:23">
      <c r="C257" s="4"/>
      <c r="D257" s="135"/>
      <c r="E257" s="1564"/>
      <c r="F257" s="169"/>
      <c r="G257" s="4"/>
      <c r="H257" s="4"/>
      <c r="I257" s="4"/>
      <c r="J257" s="4"/>
      <c r="K257" s="4"/>
      <c r="L257" s="821"/>
      <c r="M257" s="538"/>
      <c r="N257" s="4"/>
      <c r="O257" s="4"/>
      <c r="P257" s="4"/>
      <c r="Q257" s="4"/>
      <c r="R257" s="4"/>
      <c r="S257" s="4"/>
      <c r="T257" s="4"/>
      <c r="U257" s="135"/>
      <c r="V257" s="135"/>
      <c r="W257" s="4"/>
    </row>
    <row r="258" spans="3:23">
      <c r="C258" s="4"/>
      <c r="D258" s="135"/>
      <c r="E258" s="1564"/>
      <c r="F258" s="169"/>
      <c r="G258" s="4"/>
      <c r="H258" s="4"/>
      <c r="I258" s="4"/>
      <c r="J258" s="4"/>
      <c r="K258" s="4"/>
      <c r="L258" s="821"/>
      <c r="M258" s="538"/>
      <c r="N258" s="4"/>
      <c r="O258" s="4"/>
      <c r="P258" s="4"/>
      <c r="Q258" s="4"/>
      <c r="R258" s="4"/>
      <c r="S258" s="4"/>
      <c r="T258" s="4"/>
      <c r="U258" s="135"/>
      <c r="V258" s="135"/>
      <c r="W258" s="4"/>
    </row>
    <row r="259" spans="3:23">
      <c r="C259" s="4"/>
      <c r="D259" s="135"/>
      <c r="E259" s="1564"/>
      <c r="F259" s="169"/>
      <c r="G259" s="4"/>
      <c r="H259" s="4"/>
      <c r="I259" s="4"/>
      <c r="J259" s="4"/>
      <c r="K259" s="4"/>
      <c r="L259" s="821"/>
      <c r="M259" s="538"/>
      <c r="N259" s="4"/>
      <c r="O259" s="4"/>
      <c r="P259" s="4"/>
      <c r="Q259" s="4"/>
      <c r="R259" s="4"/>
      <c r="S259" s="4"/>
      <c r="T259" s="4"/>
      <c r="U259" s="135"/>
      <c r="V259" s="135"/>
      <c r="W259" s="4"/>
    </row>
    <row r="260" spans="3:23">
      <c r="C260" s="4"/>
      <c r="D260" s="135"/>
      <c r="E260" s="1564"/>
      <c r="F260" s="169"/>
      <c r="G260" s="4"/>
      <c r="H260" s="4"/>
      <c r="I260" s="4"/>
      <c r="J260" s="4"/>
      <c r="K260" s="4"/>
      <c r="L260" s="821"/>
      <c r="M260" s="538"/>
      <c r="N260" s="4"/>
      <c r="O260" s="4"/>
      <c r="P260" s="4"/>
      <c r="Q260" s="4"/>
      <c r="R260" s="4"/>
      <c r="S260" s="4"/>
      <c r="T260" s="4"/>
      <c r="U260" s="135"/>
      <c r="V260" s="135"/>
      <c r="W260" s="4"/>
    </row>
    <row r="261" spans="3:23">
      <c r="C261" s="4"/>
      <c r="D261" s="135"/>
      <c r="E261" s="1564"/>
      <c r="F261" s="169"/>
      <c r="G261" s="4"/>
      <c r="H261" s="4"/>
      <c r="I261" s="4"/>
      <c r="J261" s="4"/>
      <c r="K261" s="4"/>
      <c r="L261" s="821"/>
      <c r="M261" s="538"/>
      <c r="N261" s="4"/>
      <c r="O261" s="4"/>
      <c r="P261" s="4"/>
      <c r="Q261" s="4"/>
      <c r="R261" s="4"/>
      <c r="S261" s="4"/>
      <c r="T261" s="4"/>
      <c r="U261" s="135"/>
      <c r="V261" s="135"/>
      <c r="W261" s="4"/>
    </row>
    <row r="262" spans="3:23">
      <c r="C262" s="4"/>
      <c r="D262" s="135"/>
      <c r="E262" s="1564"/>
      <c r="F262" s="169"/>
      <c r="G262" s="4"/>
      <c r="H262" s="4"/>
      <c r="I262" s="4"/>
      <c r="J262" s="4"/>
      <c r="K262" s="4"/>
      <c r="L262" s="821"/>
      <c r="M262" s="538"/>
      <c r="N262" s="4"/>
      <c r="O262" s="4"/>
      <c r="P262" s="4"/>
      <c r="Q262" s="4"/>
      <c r="R262" s="4"/>
      <c r="S262" s="4"/>
      <c r="T262" s="4"/>
      <c r="U262" s="135"/>
      <c r="V262" s="135"/>
      <c r="W262" s="4"/>
    </row>
    <row r="263" spans="3:23">
      <c r="C263" s="4"/>
      <c r="D263" s="135"/>
      <c r="E263" s="1564"/>
      <c r="F263" s="169"/>
      <c r="G263" s="4"/>
      <c r="H263" s="4"/>
      <c r="I263" s="4"/>
      <c r="J263" s="4"/>
      <c r="K263" s="4"/>
      <c r="L263" s="821"/>
      <c r="M263" s="538"/>
      <c r="N263" s="4"/>
      <c r="O263" s="4"/>
      <c r="P263" s="4"/>
      <c r="Q263" s="4"/>
      <c r="R263" s="4"/>
      <c r="S263" s="4"/>
      <c r="T263" s="4"/>
      <c r="U263" s="135"/>
      <c r="V263" s="135"/>
      <c r="W263" s="4"/>
    </row>
    <row r="264" spans="3:23">
      <c r="C264" s="4"/>
      <c r="D264" s="135"/>
      <c r="E264" s="1564"/>
      <c r="F264" s="169"/>
      <c r="G264" s="4"/>
      <c r="H264" s="4"/>
      <c r="I264" s="4"/>
      <c r="J264" s="4"/>
      <c r="K264" s="4"/>
      <c r="L264" s="821"/>
      <c r="M264" s="538"/>
      <c r="N264" s="4"/>
      <c r="O264" s="4"/>
      <c r="P264" s="4"/>
      <c r="Q264" s="4"/>
      <c r="R264" s="4"/>
      <c r="S264" s="4"/>
      <c r="T264" s="4"/>
      <c r="U264" s="135"/>
      <c r="V264" s="135"/>
      <c r="W264" s="4"/>
    </row>
  </sheetData>
  <mergeCells count="49">
    <mergeCell ref="I1:W1"/>
    <mergeCell ref="Y11:AC11"/>
    <mergeCell ref="A9:D9"/>
    <mergeCell ref="G9:N9"/>
    <mergeCell ref="R9:S9"/>
    <mergeCell ref="T9:W9"/>
    <mergeCell ref="O9:Q9"/>
    <mergeCell ref="C11:D11"/>
    <mergeCell ref="A11:B11"/>
    <mergeCell ref="G11:N11"/>
    <mergeCell ref="P11:Q11"/>
    <mergeCell ref="Y5:AC5"/>
    <mergeCell ref="L50:O50"/>
    <mergeCell ref="A32:D32"/>
    <mergeCell ref="A30:D30"/>
    <mergeCell ref="B76:O76"/>
    <mergeCell ref="G59:Q59"/>
    <mergeCell ref="B52:D52"/>
    <mergeCell ref="N48:P48"/>
    <mergeCell ref="B71:N71"/>
    <mergeCell ref="B72:N72"/>
    <mergeCell ref="B33:D33"/>
    <mergeCell ref="B47:D47"/>
    <mergeCell ref="H47:M47"/>
    <mergeCell ref="B91:N91"/>
    <mergeCell ref="B88:W88"/>
    <mergeCell ref="B86:AC86"/>
    <mergeCell ref="B89:U89"/>
    <mergeCell ref="G61:U61"/>
    <mergeCell ref="B73:N73"/>
    <mergeCell ref="B83:O83"/>
    <mergeCell ref="B74:N74"/>
    <mergeCell ref="B65:U65"/>
    <mergeCell ref="B81:O81"/>
    <mergeCell ref="B78:N78"/>
    <mergeCell ref="B68:J68"/>
    <mergeCell ref="B70:N70"/>
    <mergeCell ref="B77:O77"/>
    <mergeCell ref="B79:O79"/>
    <mergeCell ref="AF33:AK33"/>
    <mergeCell ref="F33:M33"/>
    <mergeCell ref="T32:U32"/>
    <mergeCell ref="T33:U33"/>
    <mergeCell ref="N28:O28"/>
    <mergeCell ref="R48:S48"/>
    <mergeCell ref="B28:D28"/>
    <mergeCell ref="H28:M28"/>
    <mergeCell ref="AB28:AE28"/>
    <mergeCell ref="G32:M32"/>
  </mergeCells>
  <dataValidations count="5">
    <dataValidation type="list" allowBlank="1" showInputMessage="1" showErrorMessage="1" sqref="O35:O45 O13:O26 M45 R35:R45">
      <formula1>TVA</formula1>
    </dataValidation>
    <dataValidation type="list" allowBlank="1" showInputMessage="1" showErrorMessage="1" sqref="G13:G25 G35:G44">
      <formula1>appelation</formula1>
    </dataValidation>
    <dataValidation type="list" allowBlank="1" showInputMessage="1" showErrorMessage="1" sqref="D54:E55">
      <formula1>AVANCETVA</formula1>
    </dataValidation>
    <dataValidation type="list" allowBlank="1" showInputMessage="1" showErrorMessage="1" sqref="P35:P45">
      <formula1>TVAréduit</formula1>
    </dataValidation>
    <dataValidation type="list" allowBlank="1" showInputMessage="1" showErrorMessage="1" sqref="F13:F23 F35:F44">
      <formula1>IF(COUNTIF(Plan20,F13)=0,Plan20,OFFSET(Plan10,1,MATCH(F13,Plan20,0)-1,COUNTA(OFFSET(Plan10,,MATCH(F13,Plan20,0)-1))-1))</formula1>
    </dataValidation>
  </dataValidation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03"/>
  <sheetViews>
    <sheetView topLeftCell="A13" workbookViewId="0">
      <selection activeCell="T12" sqref="T12"/>
    </sheetView>
  </sheetViews>
  <sheetFormatPr baseColWidth="10" defaultRowHeight="15"/>
  <cols>
    <col min="1" max="2" width="3.140625" customWidth="1"/>
    <col min="3" max="4" width="3.7109375" customWidth="1"/>
    <col min="5" max="5" width="13.28515625" bestFit="1" customWidth="1"/>
    <col min="6" max="6" width="13.42578125" customWidth="1"/>
    <col min="7" max="7" width="3.7109375" customWidth="1"/>
    <col min="8" max="8" width="2.85546875" customWidth="1"/>
    <col min="9" max="9" width="3.42578125" customWidth="1"/>
    <col min="10" max="10" width="3.140625" customWidth="1"/>
    <col min="11" max="12" width="3.42578125" customWidth="1"/>
    <col min="13" max="13" width="14.42578125" customWidth="1"/>
    <col min="14" max="14" width="14.7109375" customWidth="1"/>
    <col min="15" max="16" width="3.42578125" customWidth="1"/>
    <col min="17" max="17" width="4" customWidth="1"/>
    <col min="18" max="18" width="3.7109375" customWidth="1"/>
  </cols>
  <sheetData>
    <row r="1" spans="1:22">
      <c r="A1" s="4"/>
      <c r="B1" s="231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31"/>
      <c r="Q1" s="4"/>
      <c r="R1" s="628"/>
      <c r="S1" s="628"/>
      <c r="T1" s="628"/>
      <c r="U1" s="628"/>
      <c r="V1" s="628"/>
    </row>
    <row r="2" spans="1:22" ht="18.75">
      <c r="A2" s="1669" t="s">
        <v>439</v>
      </c>
      <c r="B2" s="1669"/>
      <c r="C2" s="1669"/>
      <c r="D2" s="1669"/>
      <c r="E2" s="1669"/>
      <c r="F2" s="1669"/>
      <c r="G2" s="1669"/>
      <c r="H2" s="1669"/>
      <c r="I2" s="1669"/>
      <c r="J2" s="1669"/>
      <c r="K2" s="1669"/>
      <c r="L2" s="1669"/>
      <c r="M2" s="1669"/>
      <c r="N2" s="1669"/>
      <c r="O2" s="1669"/>
      <c r="P2" s="231"/>
      <c r="Q2" s="4"/>
      <c r="R2" s="628"/>
      <c r="S2" s="165"/>
      <c r="T2" s="165"/>
      <c r="U2" s="165"/>
      <c r="V2" s="165"/>
    </row>
    <row r="3" spans="1:22" ht="18.75">
      <c r="A3" s="4"/>
      <c r="B3" s="231"/>
      <c r="C3" s="4"/>
      <c r="D3" s="1670" t="s">
        <v>440</v>
      </c>
      <c r="E3" s="1670"/>
      <c r="F3" s="1670"/>
      <c r="G3" s="1670"/>
      <c r="H3" s="139"/>
      <c r="I3" s="629"/>
      <c r="J3" s="630"/>
      <c r="K3" s="626"/>
      <c r="L3" s="1670" t="s">
        <v>441</v>
      </c>
      <c r="M3" s="1670"/>
      <c r="N3" s="1670"/>
      <c r="O3" s="1670"/>
      <c r="P3" s="231"/>
      <c r="Q3" s="165"/>
      <c r="R3" s="628"/>
      <c r="S3" s="4"/>
      <c r="T3" s="4"/>
      <c r="U3" s="4"/>
      <c r="V3" s="4"/>
    </row>
    <row r="4" spans="1:22">
      <c r="A4" s="4"/>
      <c r="B4" s="1671" t="s">
        <v>442</v>
      </c>
      <c r="C4" s="1672"/>
      <c r="D4" s="1672"/>
      <c r="E4" s="1672"/>
      <c r="F4" s="1672"/>
      <c r="G4" s="1672"/>
      <c r="H4" s="1672"/>
      <c r="I4" s="1673"/>
      <c r="J4" s="4"/>
      <c r="K4" s="4"/>
      <c r="L4" s="4"/>
      <c r="M4" s="4"/>
      <c r="N4" s="4"/>
      <c r="O4" s="4"/>
      <c r="P4" s="364"/>
      <c r="Q4" s="628"/>
      <c r="R4" s="628"/>
      <c r="S4" s="4"/>
      <c r="T4" s="139"/>
      <c r="U4" s="139"/>
      <c r="V4" s="4"/>
    </row>
    <row r="5" spans="1:22" ht="15.75">
      <c r="A5" s="4"/>
      <c r="B5" s="1674" t="s">
        <v>443</v>
      </c>
      <c r="C5" s="1675"/>
      <c r="D5" s="1675"/>
      <c r="E5" s="1675"/>
      <c r="F5" s="1675"/>
      <c r="G5" s="1675"/>
      <c r="H5" s="1675"/>
      <c r="I5" s="1676"/>
      <c r="J5" s="4"/>
      <c r="K5" s="4"/>
      <c r="L5" s="4"/>
      <c r="M5" s="4"/>
      <c r="N5" s="1677" t="s">
        <v>469</v>
      </c>
      <c r="O5" s="1677"/>
      <c r="P5" s="1677"/>
      <c r="Q5" s="1677"/>
      <c r="R5" s="1677"/>
      <c r="S5" s="1677"/>
      <c r="T5" s="1677"/>
      <c r="U5" s="139"/>
      <c r="V5" s="4"/>
    </row>
    <row r="6" spans="1:22" ht="15.75">
      <c r="A6" s="4"/>
      <c r="B6" s="1693" t="s">
        <v>444</v>
      </c>
      <c r="C6" s="1694"/>
      <c r="D6" s="1694"/>
      <c r="E6" s="1694"/>
      <c r="F6" s="1694"/>
      <c r="G6" s="1694"/>
      <c r="H6" s="1694"/>
      <c r="I6" s="1694"/>
      <c r="J6" s="1694"/>
      <c r="K6" s="1694"/>
      <c r="L6" s="1694"/>
      <c r="M6" s="1694"/>
      <c r="N6" s="1677" t="s">
        <v>470</v>
      </c>
      <c r="O6" s="1677"/>
      <c r="P6" s="1677"/>
      <c r="Q6" s="1677"/>
      <c r="R6" s="1677"/>
      <c r="S6" s="1677"/>
      <c r="T6" s="1677"/>
      <c r="U6" s="1677"/>
      <c r="V6" s="4"/>
    </row>
    <row r="7" spans="1:22" ht="18.75">
      <c r="A7" s="4"/>
      <c r="B7" s="1695" t="s">
        <v>445</v>
      </c>
      <c r="C7" s="1695"/>
      <c r="D7" s="1695"/>
      <c r="E7" s="1695"/>
      <c r="F7" s="1695"/>
      <c r="G7" s="1695"/>
      <c r="H7" s="1695"/>
      <c r="I7" s="1695"/>
      <c r="J7" s="1695"/>
      <c r="K7" s="1695"/>
      <c r="L7" s="1695"/>
      <c r="M7" s="1695"/>
      <c r="N7" s="1695"/>
      <c r="O7" s="4"/>
      <c r="P7" s="364"/>
      <c r="Q7" s="628"/>
      <c r="R7" s="628"/>
      <c r="S7" s="4"/>
      <c r="T7" s="631"/>
      <c r="U7" s="139"/>
      <c r="V7" s="4"/>
    </row>
    <row r="8" spans="1:22" ht="19.5" thickBot="1">
      <c r="A8" s="4"/>
      <c r="B8" s="632"/>
      <c r="C8" s="719" t="s">
        <v>455</v>
      </c>
      <c r="D8" s="716"/>
      <c r="E8" s="716"/>
      <c r="F8" s="716"/>
      <c r="G8" s="716"/>
      <c r="H8" s="716"/>
      <c r="I8" s="716"/>
      <c r="J8" s="716"/>
      <c r="K8" s="716"/>
      <c r="L8" s="718"/>
      <c r="M8" s="718"/>
      <c r="N8" s="717"/>
      <c r="O8" s="4"/>
      <c r="P8" s="364"/>
      <c r="Q8" s="628"/>
      <c r="R8" s="628"/>
      <c r="S8" s="4"/>
      <c r="T8" s="633"/>
      <c r="U8" s="139"/>
      <c r="V8" s="4"/>
    </row>
    <row r="9" spans="1:22" ht="19.5" thickTop="1">
      <c r="A9" s="4"/>
      <c r="B9" s="231"/>
      <c r="C9" s="4"/>
      <c r="D9" s="1701" t="s">
        <v>1860</v>
      </c>
      <c r="E9" s="1702"/>
      <c r="F9" s="1663" t="s">
        <v>1861</v>
      </c>
      <c r="G9" s="1664"/>
      <c r="H9" s="634"/>
      <c r="I9" s="635"/>
      <c r="J9" s="636"/>
      <c r="K9" s="4"/>
      <c r="L9" s="1663" t="s">
        <v>1862</v>
      </c>
      <c r="M9" s="1664"/>
      <c r="N9" s="1665" t="s">
        <v>1863</v>
      </c>
      <c r="O9" s="1665"/>
      <c r="P9" s="231"/>
      <c r="Q9" s="628"/>
      <c r="R9" s="628"/>
      <c r="S9" s="4"/>
      <c r="T9" s="139"/>
      <c r="U9" s="139"/>
      <c r="V9" s="4"/>
    </row>
    <row r="10" spans="1:22" ht="19.5" thickBot="1">
      <c r="A10" s="4"/>
      <c r="B10" s="231"/>
      <c r="C10" s="4"/>
      <c r="D10" s="1666" t="s">
        <v>12</v>
      </c>
      <c r="E10" s="1667"/>
      <c r="F10" s="1667"/>
      <c r="G10" s="1668"/>
      <c r="H10" s="5"/>
      <c r="I10" s="635"/>
      <c r="J10" s="636"/>
      <c r="K10" s="139"/>
      <c r="L10" s="1666" t="s">
        <v>12</v>
      </c>
      <c r="M10" s="1667"/>
      <c r="N10" s="1667"/>
      <c r="O10" s="1668"/>
      <c r="P10" s="231"/>
      <c r="Q10" s="628"/>
      <c r="R10" s="628"/>
      <c r="S10" s="628"/>
      <c r="T10" s="337"/>
      <c r="U10" s="4"/>
      <c r="V10" s="4"/>
    </row>
    <row r="11" spans="1:22" ht="15.75" thickBot="1">
      <c r="A11" s="4"/>
      <c r="B11" s="231"/>
      <c r="C11" s="139"/>
      <c r="D11" s="134"/>
      <c r="E11" s="725" t="s">
        <v>456</v>
      </c>
      <c r="F11" s="1698"/>
      <c r="G11" s="1699"/>
      <c r="H11" s="1699"/>
      <c r="I11" s="635"/>
      <c r="J11" s="636"/>
      <c r="K11" s="626"/>
      <c r="L11" s="626"/>
      <c r="M11" s="725" t="s">
        <v>456</v>
      </c>
      <c r="N11" s="1700"/>
      <c r="O11" s="1700"/>
      <c r="P11" s="231"/>
      <c r="Q11" s="628"/>
      <c r="R11" s="4"/>
      <c r="S11" s="628"/>
      <c r="T11" s="337"/>
      <c r="U11" s="4"/>
      <c r="V11" s="4"/>
    </row>
    <row r="12" spans="1:22" ht="16.5" thickTop="1" thickBot="1">
      <c r="A12" s="4"/>
      <c r="B12" s="637"/>
      <c r="C12" s="638"/>
      <c r="D12" s="249" t="s">
        <v>257</v>
      </c>
      <c r="E12" s="639" t="str">
        <f t="array" ref="E12">INDEX('Val-Départ'!B$1:B$23,MIN(IF(COUNTIF('Liv-Four-client'!E$11:E11,'Val-Départ'!B$13:B$23)=0,ROW($13:$23))))</f>
        <v>C0001</v>
      </c>
      <c r="F12" s="640" t="str">
        <f>IFERROR(VLOOKUP($E$12,'Val-Départ'!$B$13:$D$23,2,FALSE),"")</f>
        <v>Nicolas</v>
      </c>
      <c r="G12" s="249" t="s">
        <v>256</v>
      </c>
      <c r="H12" s="641"/>
      <c r="I12" s="635"/>
      <c r="J12" s="636"/>
      <c r="K12" s="642"/>
      <c r="L12" s="249" t="s">
        <v>266</v>
      </c>
      <c r="M12" s="639" t="str">
        <f>INDEX('Val-Départ'!B$1:B$45,MIN(IF(COUNTIF('Liv-Four-client'!M$11:M11,'Val-Départ'!B$35:B$45)=0,ROW($35:$45))))</f>
        <v>F0001</v>
      </c>
      <c r="N12" s="640" t="str">
        <f>IFERROR(VLOOKUP($M$12,'Val-Départ'!$B$35:$D$46,2,FALSE),"")</f>
        <v>Feromat</v>
      </c>
      <c r="O12" s="249" t="s">
        <v>264</v>
      </c>
      <c r="P12" s="643"/>
      <c r="Q12" s="638"/>
      <c r="R12" s="644"/>
      <c r="S12" s="4"/>
      <c r="T12" s="4"/>
      <c r="U12" s="4"/>
      <c r="V12" s="4"/>
    </row>
    <row r="13" spans="1:22">
      <c r="A13" s="4"/>
      <c r="B13" s="645"/>
      <c r="C13" s="626"/>
      <c r="D13" s="646" t="s">
        <v>278</v>
      </c>
      <c r="E13" s="647">
        <f>IFERROR(VLOOKUP($E$12,'Val-Départ'!$B$12:$D$19,3,FALSE),"")</f>
        <v>1066.1500000000001</v>
      </c>
      <c r="F13" s="648" t="s">
        <v>298</v>
      </c>
      <c r="G13" s="649"/>
      <c r="H13" s="650"/>
      <c r="I13" s="651"/>
      <c r="J13" s="636"/>
      <c r="K13" s="406"/>
      <c r="L13" s="652"/>
      <c r="M13" s="653" t="s">
        <v>279</v>
      </c>
      <c r="N13" s="647">
        <f>IFERROR(VLOOKUP($M$12,'Val-Départ'!$B$35:$D$46,3,FALSE),"")</f>
        <v>0</v>
      </c>
      <c r="O13" s="654" t="s">
        <v>278</v>
      </c>
      <c r="P13" s="231"/>
      <c r="Q13" s="4"/>
      <c r="R13" s="655"/>
      <c r="S13" s="4"/>
      <c r="T13" s="4"/>
      <c r="U13" s="4"/>
      <c r="V13" s="4"/>
    </row>
    <row r="14" spans="1:22">
      <c r="A14" s="4"/>
      <c r="B14" s="645"/>
      <c r="C14" s="317">
        <v>13</v>
      </c>
      <c r="D14" s="631"/>
      <c r="E14" s="656">
        <f>IF(ISNA(VLOOKUP($E$12,'Val-Départ'!B13:W13,18,FALSE)),,VLOOKUP($E$12,'Val-Départ'!B13:W13,18,FALSE))</f>
        <v>0</v>
      </c>
      <c r="F14" s="657">
        <f>IF(ISNA(VLOOKUP($E$12,'Val-Départ'!Y13:AD13,6,FALSE)),,VLOOKUP($E$12,'Val-Départ'!Y13:AD13,6,FALSE))</f>
        <v>2565.91</v>
      </c>
      <c r="G14" s="21"/>
      <c r="H14" s="658"/>
      <c r="I14" s="659"/>
      <c r="J14" s="636"/>
      <c r="K14" s="406"/>
      <c r="L14" s="4"/>
      <c r="M14" s="660">
        <f>IF(ISNA(VLOOKUP($M$12,'Val-Départ'!B35:AK35,35,FALSE)),,VLOOKUP($M$12,'Val-Départ'!B35:AK35,35,FALSE))</f>
        <v>550</v>
      </c>
      <c r="N14" s="681">
        <f>IF(ISNA(VLOOKUP($M$12,'Val-Départ'!AF35:AK35,6,FALSE)),,VLOOKUP($M$12,'Val-Départ'!AF35:AK35,6,FALSE))</f>
        <v>899.85</v>
      </c>
      <c r="O14" s="103"/>
      <c r="P14" s="231">
        <v>35</v>
      </c>
      <c r="Q14" s="4"/>
      <c r="R14" s="655"/>
      <c r="S14" s="4"/>
      <c r="T14" s="4"/>
      <c r="U14" s="4"/>
      <c r="V14" s="4"/>
    </row>
    <row r="15" spans="1:22">
      <c r="A15" s="4"/>
      <c r="B15" s="645"/>
      <c r="C15" s="317">
        <v>14</v>
      </c>
      <c r="D15" s="661"/>
      <c r="E15" s="656">
        <f>IF(ISNA(VLOOKUP($E$12,'Val-Départ'!B14:W14,18,FALSE)),,VLOOKUP($E$12,'Val-Départ'!B14:W14,18,FALSE))</f>
        <v>0</v>
      </c>
      <c r="F15" s="657">
        <f>IF(ISNA(VLOOKUP($E$12,'Val-Départ'!Y14:AD14,6,FALSE)),,VLOOKUP($E$12,'Val-Départ'!Y14:AD14,6,FALSE))</f>
        <v>0</v>
      </c>
      <c r="G15" s="21"/>
      <c r="H15" s="658"/>
      <c r="I15" s="659"/>
      <c r="J15" s="636"/>
      <c r="K15" s="406"/>
      <c r="L15" s="4"/>
      <c r="M15" s="660">
        <f>IF(ISNA(VLOOKUP($M$12,'Val-Départ'!B36:AK36,35,FALSE)),,VLOOKUP($M$12,'Val-Départ'!B36:AK36,35,FALSE))</f>
        <v>0</v>
      </c>
      <c r="N15" s="681">
        <f>IF(ISNA(VLOOKUP($M$12,'Val-Départ'!AF36:AK36,6,FALSE)),,VLOOKUP($M$12,'Val-Départ'!AF36:AK36,6,FALSE))</f>
        <v>0</v>
      </c>
      <c r="O15" s="103"/>
      <c r="P15" s="231">
        <v>36</v>
      </c>
      <c r="Q15" s="4"/>
      <c r="R15" s="655"/>
      <c r="S15" s="4"/>
      <c r="T15" s="4"/>
      <c r="U15" s="4"/>
      <c r="V15" s="4"/>
    </row>
    <row r="16" spans="1:22">
      <c r="A16" s="4"/>
      <c r="B16" s="645"/>
      <c r="C16" s="317">
        <v>15</v>
      </c>
      <c r="D16" s="661"/>
      <c r="E16" s="656">
        <f>IF(ISNA(VLOOKUP($E$12,'Val-Départ'!B15:W15,18,FALSE)),,VLOOKUP($E$12,'Val-Départ'!B15:W15,18,FALSE))</f>
        <v>0</v>
      </c>
      <c r="F16" s="657">
        <f>IF(ISNA(VLOOKUP($E$12,'Val-Départ'!Y15:AD15,6,FALSE)),,VLOOKUP($E$12,'Val-Départ'!Y15:AD15,6,FALSE))</f>
        <v>0</v>
      </c>
      <c r="G16" s="21"/>
      <c r="H16" s="658"/>
      <c r="I16" s="659"/>
      <c r="J16" s="636"/>
      <c r="K16" s="406"/>
      <c r="L16" s="4"/>
      <c r="M16" s="660">
        <f>IF(ISNA(VLOOKUP($M$12,'Val-Départ'!B37:AK37,35,FALSE)),,VLOOKUP($M$12,'Val-Départ'!B37:AK37,35,FALSE))</f>
        <v>0</v>
      </c>
      <c r="N16" s="681">
        <f>IF(ISNA(VLOOKUP($M$12,'Val-Départ'!AF37:AK37,6,FALSE)),,VLOOKUP($M$12,'Val-Départ'!AF37:AK37,6,FALSE))</f>
        <v>0</v>
      </c>
      <c r="O16" s="103"/>
      <c r="P16" s="231">
        <v>37</v>
      </c>
      <c r="Q16" s="4"/>
      <c r="R16" s="655"/>
      <c r="S16" s="4"/>
      <c r="T16" s="4"/>
      <c r="U16" s="4"/>
      <c r="V16" s="4"/>
    </row>
    <row r="17" spans="1:22">
      <c r="A17" s="4"/>
      <c r="B17" s="645"/>
      <c r="C17" s="317">
        <v>16</v>
      </c>
      <c r="D17" s="661"/>
      <c r="E17" s="656">
        <f>IF(ISNA(VLOOKUP($E$12,'Val-Départ'!B16:W16,18,FALSE)),,VLOOKUP($E$12,'Val-Départ'!B16:W16,18,FALSE))</f>
        <v>0</v>
      </c>
      <c r="F17" s="657">
        <f>IF(ISNA(VLOOKUP($E$12,'Val-Départ'!Y16:AD16,6,FALSE)),,VLOOKUP($E$12,'Val-Départ'!Y16:AD16,6,FALSE))</f>
        <v>0</v>
      </c>
      <c r="G17" s="21"/>
      <c r="H17" s="658"/>
      <c r="I17" s="659"/>
      <c r="J17" s="636"/>
      <c r="K17" s="406"/>
      <c r="L17" s="4"/>
      <c r="M17" s="660">
        <f>IF(ISNA(VLOOKUP($M$12,'Val-Départ'!B38:AK38,35,FALSE)),,VLOOKUP($M$12,'Val-Départ'!B38:AK38,35,FALSE))</f>
        <v>0</v>
      </c>
      <c r="N17" s="681">
        <f>IF(ISNA(VLOOKUP($M$12,'Val-Départ'!AF38:AK38,6,FALSE)),,VLOOKUP($M$12,'Val-Départ'!AF38:AK38,6,FALSE))</f>
        <v>0</v>
      </c>
      <c r="O17" s="103"/>
      <c r="P17" s="231">
        <v>38</v>
      </c>
      <c r="Q17" s="4"/>
      <c r="R17" s="662"/>
      <c r="S17" s="4"/>
      <c r="T17" s="4"/>
      <c r="U17" s="4"/>
      <c r="V17" s="4"/>
    </row>
    <row r="18" spans="1:22">
      <c r="A18" s="4"/>
      <c r="B18" s="645"/>
      <c r="C18" s="317">
        <v>17</v>
      </c>
      <c r="D18" s="661"/>
      <c r="E18" s="656">
        <f>IF(ISNA(VLOOKUP($E$12,'Val-Départ'!B17:W17,18,FALSE)),,VLOOKUP($E$12,'Val-Départ'!B17:W17,18,FALSE))</f>
        <v>0</v>
      </c>
      <c r="F18" s="657">
        <f>IF(ISNA(VLOOKUP($E$12,'Val-Départ'!Y17:AD17,6,FALSE)),,VLOOKUP($E$12,'Val-Départ'!Y17:AD17,6,FALSE))</f>
        <v>0</v>
      </c>
      <c r="G18" s="21"/>
      <c r="H18" s="658"/>
      <c r="I18" s="659"/>
      <c r="J18" s="636"/>
      <c r="K18" s="406"/>
      <c r="L18" s="4"/>
      <c r="M18" s="660">
        <f>IF(ISNA(VLOOKUP($M$12,'Val-Départ'!B39:AK39,35,FALSE)),,VLOOKUP($M$12,'Val-Départ'!B39:AK39,35,FALSE))</f>
        <v>0</v>
      </c>
      <c r="N18" s="681">
        <f>IF(ISNA(VLOOKUP($M$12,'Val-Départ'!AF39:AK39,6,FALSE)),,VLOOKUP($M$12,'Val-Départ'!AF39:AK39,6,FALSE))</f>
        <v>0</v>
      </c>
      <c r="O18" s="103"/>
      <c r="P18" s="231">
        <v>39</v>
      </c>
      <c r="Q18" s="4"/>
      <c r="R18" s="655"/>
      <c r="S18" s="4"/>
      <c r="T18" s="4"/>
      <c r="U18" s="4"/>
      <c r="V18" s="4"/>
    </row>
    <row r="19" spans="1:22">
      <c r="A19" s="4"/>
      <c r="B19" s="645"/>
      <c r="C19" s="317">
        <v>18</v>
      </c>
      <c r="D19" s="661"/>
      <c r="E19" s="656">
        <f>IF(ISNA(VLOOKUP($E$12,'Val-Départ'!B18:W18,18,FALSE)),,VLOOKUP($E$12,'Val-Départ'!B18:W18,18,FALSE))</f>
        <v>0</v>
      </c>
      <c r="F19" s="657">
        <f>IF(ISNA(VLOOKUP($E$12,'Val-Départ'!Y18:AD18,6,FALSE)),,VLOOKUP($E$12,'Val-Départ'!Y18:AD18,6,FALSE))</f>
        <v>0</v>
      </c>
      <c r="G19" s="21"/>
      <c r="H19" s="658"/>
      <c r="I19" s="659"/>
      <c r="J19" s="636"/>
      <c r="K19" s="406"/>
      <c r="L19" s="4"/>
      <c r="M19" s="660">
        <f>IF(ISNA(VLOOKUP($M$12,'Val-Départ'!B40:AK40,35,FALSE)),,VLOOKUP($M$12,'Val-Départ'!B40:AK40,35,FALSE))</f>
        <v>0</v>
      </c>
      <c r="N19" s="681">
        <f>IF(ISNA(VLOOKUP($M$12,'Val-Départ'!AF40:AK40,6,FALSE)),,VLOOKUP($M$12,'Val-Départ'!AF40:AK40,6,FALSE))</f>
        <v>0</v>
      </c>
      <c r="O19" s="103"/>
      <c r="P19" s="231">
        <v>40</v>
      </c>
      <c r="Q19" s="4"/>
      <c r="R19" s="655"/>
      <c r="S19" s="4"/>
      <c r="T19" s="4"/>
      <c r="U19" s="4"/>
      <c r="V19" s="4"/>
    </row>
    <row r="20" spans="1:22">
      <c r="A20" s="4"/>
      <c r="B20" s="645"/>
      <c r="C20" s="317">
        <v>19</v>
      </c>
      <c r="D20" s="661"/>
      <c r="E20" s="656">
        <f>IF(ISNA(VLOOKUP($E$12,'Val-Départ'!B19:W19,18,FALSE)),,VLOOKUP($E$12,'Val-Départ'!B19:W19,18,FALSE))</f>
        <v>0</v>
      </c>
      <c r="F20" s="657">
        <f>IF(ISNA(VLOOKUP($E$12,'Val-Départ'!Y19:AD19,6,FALSE)),,VLOOKUP($E$12,'Val-Départ'!Y19:AD19,6,FALSE))</f>
        <v>0</v>
      </c>
      <c r="G20" s="21"/>
      <c r="H20" s="658"/>
      <c r="I20" s="659"/>
      <c r="J20" s="636"/>
      <c r="K20" s="406"/>
      <c r="L20" s="4"/>
      <c r="M20" s="660">
        <f>IF(ISNA(VLOOKUP($M$12,'Val-Départ'!B41:AK41,35,FALSE)),,VLOOKUP($M$12,'Val-Départ'!B41:AK41,35,FALSE))</f>
        <v>0</v>
      </c>
      <c r="N20" s="681">
        <f>IF(ISNA(VLOOKUP($M$12,'Val-Départ'!AF41:AK41,6,FALSE)),,VLOOKUP($M$12,'Val-Départ'!AF41:AK41,6,FALSE))</f>
        <v>0</v>
      </c>
      <c r="O20" s="103"/>
      <c r="P20" s="231">
        <v>41</v>
      </c>
      <c r="Q20" s="4"/>
      <c r="R20" s="655"/>
      <c r="S20" s="4"/>
      <c r="T20" s="4"/>
      <c r="U20" s="4"/>
      <c r="V20" s="4"/>
    </row>
    <row r="21" spans="1:22">
      <c r="A21" s="4"/>
      <c r="B21" s="645"/>
      <c r="C21" s="317">
        <v>20</v>
      </c>
      <c r="D21" s="4"/>
      <c r="E21" s="656">
        <f>IF(ISNA(VLOOKUP($E$12,'Val-Départ'!B20:W20,18,FALSE)),,VLOOKUP($E$12,'Val-Départ'!B20:W20,18,FALSE))</f>
        <v>0</v>
      </c>
      <c r="F21" s="657">
        <f>IF(ISNA(VLOOKUP($E$12,'Val-Départ'!Y20:AD20,6,FALSE)),,VLOOKUP($E$12,'Val-Départ'!Y20:AD20,6,FALSE))</f>
        <v>0</v>
      </c>
      <c r="G21" s="4"/>
      <c r="H21" s="655"/>
      <c r="I21" s="635"/>
      <c r="J21" s="636"/>
      <c r="K21" s="406"/>
      <c r="L21" s="4"/>
      <c r="M21" s="660">
        <f>IF(ISNA(VLOOKUP($M$12,'Val-Départ'!B42:AK42,35,FALSE)),,VLOOKUP($M$12,'Val-Départ'!B42:AK42,35,FALSE))</f>
        <v>0</v>
      </c>
      <c r="N21" s="681">
        <f>IF(ISNA(VLOOKUP($M$12,'Val-Départ'!AF42:AK42,6,FALSE)),,VLOOKUP($M$12,'Val-Départ'!AF42:AK42,6,FALSE))</f>
        <v>0</v>
      </c>
      <c r="O21" s="103"/>
      <c r="P21" s="231">
        <v>42</v>
      </c>
      <c r="Q21" s="4"/>
      <c r="R21" s="655"/>
      <c r="S21" s="628"/>
      <c r="T21" s="745"/>
      <c r="U21" s="745"/>
      <c r="V21" s="4"/>
    </row>
    <row r="22" spans="1:22" s="737" customFormat="1">
      <c r="A22" s="4"/>
      <c r="B22" s="645"/>
      <c r="C22" s="317">
        <v>21</v>
      </c>
      <c r="D22" s="4"/>
      <c r="E22" s="656">
        <f>IF(ISNA(VLOOKUP($E$12,'Val-Départ'!B21:W21,18,FALSE)),,VLOOKUP($E$12,'Val-Départ'!B21:W21,18,FALSE))</f>
        <v>0</v>
      </c>
      <c r="F22" s="657">
        <f>IF(ISNA(VLOOKUP($E$12,'Val-Départ'!Y21:AD21,6,FALSE)),,VLOOKUP($E$12,'Val-Départ'!Y21:AD21,6,FALSE))</f>
        <v>0</v>
      </c>
      <c r="G22" s="4"/>
      <c r="H22" s="655"/>
      <c r="I22" s="635"/>
      <c r="J22" s="636"/>
      <c r="K22" s="406"/>
      <c r="L22" s="4"/>
      <c r="M22" s="660">
        <f>IF(ISNA(VLOOKUP($M$12,'Val-Départ'!B43:AK43,35,FALSE)),,VLOOKUP($M$12,'Val-Départ'!B43:AK43,35,FALSE))</f>
        <v>0</v>
      </c>
      <c r="N22" s="681">
        <f>IF(ISNA(VLOOKUP($M$12,'Val-Départ'!AF43:AK43,6,FALSE)),,VLOOKUP($M$12,'Val-Départ'!AF43:AK43,6,FALSE))</f>
        <v>0</v>
      </c>
      <c r="O22" s="103"/>
      <c r="P22" s="231">
        <v>43</v>
      </c>
      <c r="Q22" s="4"/>
      <c r="R22" s="655"/>
      <c r="T22" s="745"/>
      <c r="U22" s="745"/>
      <c r="V22" s="4"/>
    </row>
    <row r="23" spans="1:22" s="737" customFormat="1">
      <c r="A23" s="4"/>
      <c r="B23" s="645"/>
      <c r="C23" s="317">
        <v>22</v>
      </c>
      <c r="D23" s="4"/>
      <c r="E23" s="656">
        <f>IF(ISNA(VLOOKUP($E$12,'Val-Départ'!B22:W22,18,FALSE)),,VLOOKUP($E$12,'Val-Départ'!B22:W22,18,FALSE))</f>
        <v>0</v>
      </c>
      <c r="F23" s="657">
        <f>IF(ISNA(VLOOKUP($E$12,'Val-Départ'!Y22:AD22,6,FALSE)),,VLOOKUP($E$12,'Val-Départ'!Y22:AD22,6,FALSE))</f>
        <v>0</v>
      </c>
      <c r="G23" s="4"/>
      <c r="H23" s="655"/>
      <c r="I23" s="635"/>
      <c r="J23" s="636"/>
      <c r="K23" s="406"/>
      <c r="L23" s="4"/>
      <c r="M23" s="660">
        <f>IF(ISNA(VLOOKUP($M$12,'Val-Départ'!B44:AK44,35,FALSE)),,VLOOKUP($M$12,'Val-Départ'!B44:AK44,35,FALSE))</f>
        <v>0</v>
      </c>
      <c r="N23" s="681">
        <f>IF(ISNA(VLOOKUP($M$12,'Val-Départ'!AF44:AK44,6,FALSE)),,VLOOKUP($M$12,'Val-Départ'!AF44:AK44,6,FALSE))</f>
        <v>0</v>
      </c>
      <c r="O23" s="103"/>
      <c r="P23" s="231">
        <v>44</v>
      </c>
      <c r="Q23" s="4"/>
      <c r="R23" s="655"/>
      <c r="T23" s="745"/>
      <c r="U23" s="745"/>
    </row>
    <row r="24" spans="1:22" s="737" customFormat="1" ht="15.75" thickBot="1">
      <c r="A24" s="4"/>
      <c r="B24" s="645"/>
      <c r="C24" s="317">
        <v>23</v>
      </c>
      <c r="D24" s="4"/>
      <c r="E24" s="656">
        <f>IF(ISNA(VLOOKUP($E$12,'Val-Départ'!B23:W23,18,FALSE)),,VLOOKUP($E$12,'Val-Départ'!B23:W23,18,FALSE))</f>
        <v>0</v>
      </c>
      <c r="F24" s="657">
        <f>IF(ISNA(VLOOKUP($E$12,'Val-Départ'!Y23:AD23,6,FALSE)),,VLOOKUP($E$12,'Val-Départ'!Y23:AD23,6,FALSE))</f>
        <v>0</v>
      </c>
      <c r="G24" s="4"/>
      <c r="H24" s="655"/>
      <c r="I24" s="635"/>
      <c r="J24" s="636"/>
      <c r="K24" s="406"/>
      <c r="L24" s="4"/>
      <c r="M24" s="660">
        <f>IF(ISNA(VLOOKUP($M$12,'Val-Départ'!B45:AK45,35,FALSE)),,VLOOKUP($M$12,'Val-Départ'!B45:AK45,35,FALSE))</f>
        <v>0</v>
      </c>
      <c r="N24" s="681">
        <f>IF(ISNA(VLOOKUP($M$12,'Val-Départ'!AF45:AK45,6,FALSE)),,VLOOKUP($M$12,'Val-Départ'!AF45:AK45,6,FALSE))</f>
        <v>0</v>
      </c>
      <c r="O24" s="103"/>
      <c r="P24" s="231">
        <v>45</v>
      </c>
      <c r="Q24" s="4"/>
      <c r="R24" s="655"/>
      <c r="T24" s="745"/>
      <c r="U24" s="745"/>
    </row>
    <row r="25" spans="1:22">
      <c r="A25" s="4"/>
      <c r="B25" s="645"/>
      <c r="C25" s="4"/>
      <c r="D25" s="216"/>
      <c r="E25" s="311">
        <f>SUM(E13:E21)</f>
        <v>1066.1500000000001</v>
      </c>
      <c r="F25" s="663">
        <f>SUM(F14:F21)</f>
        <v>2565.91</v>
      </c>
      <c r="G25" s="216"/>
      <c r="H25" s="655"/>
      <c r="I25" s="635"/>
      <c r="J25" s="636"/>
      <c r="K25" s="406"/>
      <c r="L25" s="216"/>
      <c r="M25" s="311">
        <f>SUM(M14:M21)</f>
        <v>550</v>
      </c>
      <c r="N25" s="664">
        <f>SUM(N13:N21)</f>
        <v>899.85</v>
      </c>
      <c r="O25" s="665" t="s">
        <v>260</v>
      </c>
      <c r="P25" s="666"/>
      <c r="Q25" s="4"/>
      <c r="R25" s="655"/>
      <c r="S25" s="628"/>
      <c r="T25" s="628"/>
      <c r="U25" s="628"/>
      <c r="V25" s="628"/>
    </row>
    <row r="26" spans="1:22" s="737" customFormat="1">
      <c r="A26" s="4"/>
      <c r="B26" s="645"/>
      <c r="C26" s="4"/>
      <c r="D26" s="4"/>
      <c r="E26" s="168"/>
      <c r="F26" s="168"/>
      <c r="G26" s="4"/>
      <c r="H26" s="655"/>
      <c r="I26" s="635"/>
      <c r="J26" s="636"/>
      <c r="K26" s="406"/>
      <c r="L26" s="4"/>
      <c r="M26" s="168"/>
      <c r="N26" s="168"/>
      <c r="O26" s="744"/>
      <c r="P26" s="666"/>
      <c r="Q26" s="4"/>
      <c r="R26" s="655"/>
    </row>
    <row r="27" spans="1:22" ht="19.5" thickBot="1">
      <c r="A27" s="4"/>
      <c r="B27" s="769"/>
      <c r="C27" s="194"/>
      <c r="D27" s="770" t="s">
        <v>261</v>
      </c>
      <c r="E27" s="771">
        <f>E25-F25</f>
        <v>-1499.7599999999998</v>
      </c>
      <c r="F27" s="1696" t="s">
        <v>447</v>
      </c>
      <c r="G27" s="1696"/>
      <c r="H27" s="1697"/>
      <c r="I27" s="670"/>
      <c r="J27" s="636"/>
      <c r="K27" s="671"/>
      <c r="L27" s="668"/>
      <c r="M27" s="668"/>
      <c r="N27" s="672">
        <f>(N25-M25)</f>
        <v>349.85</v>
      </c>
      <c r="O27" s="1661" t="s">
        <v>1872</v>
      </c>
      <c r="P27" s="1662"/>
      <c r="Q27" s="1662"/>
      <c r="R27" s="752"/>
      <c r="S27" s="628"/>
      <c r="T27" s="628"/>
      <c r="U27" s="628"/>
      <c r="V27" s="628"/>
    </row>
    <row r="28" spans="1:22" ht="15.75" thickTop="1">
      <c r="A28" s="4"/>
      <c r="B28" s="645"/>
      <c r="C28" s="4"/>
      <c r="D28" s="4"/>
      <c r="E28" s="725" t="s">
        <v>456</v>
      </c>
      <c r="F28" s="4"/>
      <c r="G28" s="4"/>
      <c r="H28" s="655"/>
      <c r="I28" s="635"/>
      <c r="J28" s="636"/>
      <c r="K28" s="642"/>
      <c r="L28" s="638"/>
      <c r="M28" s="725" t="s">
        <v>456</v>
      </c>
      <c r="N28" s="638"/>
      <c r="O28" s="638"/>
      <c r="P28" s="643"/>
      <c r="Q28" s="638"/>
      <c r="R28" s="641"/>
      <c r="S28" s="628"/>
      <c r="T28" s="628"/>
      <c r="U28" s="628"/>
      <c r="V28" s="628"/>
    </row>
    <row r="29" spans="1:22" ht="15.75" thickBot="1">
      <c r="A29" s="4"/>
      <c r="B29" s="645"/>
      <c r="C29" s="4"/>
      <c r="D29" s="249" t="s">
        <v>263</v>
      </c>
      <c r="E29" s="639" t="str">
        <f t="array" ref="E29">INDEX('Val-Départ'!B$1:B$23,MIN(IF(COUNTIF('Liv-Four-client'!E$11:E28,'Val-Départ'!B$13:B$23)=0,ROW($13:$23))))</f>
        <v>C0002</v>
      </c>
      <c r="F29" s="640" t="str">
        <f>IFERROR(VLOOKUP($E$29,'Val-Départ'!$B$13:$D$23,2,FALSE),"")</f>
        <v>Vienneau</v>
      </c>
      <c r="G29" s="249" t="s">
        <v>262</v>
      </c>
      <c r="H29" s="655"/>
      <c r="I29" s="635"/>
      <c r="J29" s="636"/>
      <c r="K29" s="406"/>
      <c r="L29" s="249" t="s">
        <v>263</v>
      </c>
      <c r="M29" s="639" t="str">
        <f t="array" ref="M29">INDEX('Val-Départ'!B$1:B$45,MIN(IF(COUNTIF('Liv-Four-client'!M$11:M28,'Val-Départ'!B$35:B$45)=0,ROW($35:$45))))</f>
        <v>F0002</v>
      </c>
      <c r="N29" s="640" t="str">
        <f>IFERROR(VLOOKUP($M$29,'Val-Départ'!$B$36:$D$45,2,FALSE),"")</f>
        <v>Durand</v>
      </c>
      <c r="O29" s="249" t="s">
        <v>262</v>
      </c>
      <c r="P29" s="231"/>
      <c r="Q29" s="4"/>
      <c r="R29" s="655"/>
      <c r="S29" s="628"/>
      <c r="T29" s="628"/>
      <c r="U29" s="628"/>
      <c r="V29" s="628"/>
    </row>
    <row r="30" spans="1:22">
      <c r="A30" s="4"/>
      <c r="B30" s="645"/>
      <c r="C30" s="4"/>
      <c r="D30" s="673" t="s">
        <v>278</v>
      </c>
      <c r="E30" s="647">
        <f>IFERROR(VLOOKUP($E$29,'Val-Départ'!$B$12:$D$19,3,FALSE),"")</f>
        <v>758.12</v>
      </c>
      <c r="F30" s="674" t="s">
        <v>298</v>
      </c>
      <c r="G30" s="675"/>
      <c r="H30" s="676"/>
      <c r="I30" s="677"/>
      <c r="J30" s="636"/>
      <c r="K30" s="406"/>
      <c r="L30" s="678"/>
      <c r="M30" s="679" t="s">
        <v>279</v>
      </c>
      <c r="N30" s="647">
        <f>IFERROR(VLOOKUP($M$29,'Val-Départ'!$B$36:$D$45,3,FALSE),"")</f>
        <v>1115.52</v>
      </c>
      <c r="O30" s="673" t="s">
        <v>278</v>
      </c>
      <c r="P30" s="231"/>
      <c r="Q30" s="4"/>
      <c r="R30" s="655"/>
      <c r="S30" s="628"/>
      <c r="T30" s="628"/>
      <c r="U30" s="628"/>
      <c r="V30" s="628"/>
    </row>
    <row r="31" spans="1:22">
      <c r="A31" s="4"/>
      <c r="B31" s="645"/>
      <c r="C31" s="231">
        <v>13</v>
      </c>
      <c r="D31" s="4"/>
      <c r="E31" s="656">
        <f>IF(ISNA(VLOOKUP($E$29,'Val-Départ'!B13:W13,18,FALSE)),,VLOOKUP($E$29,'Val-Départ'!B13:W13,18,FALSE))</f>
        <v>0</v>
      </c>
      <c r="F31" s="657">
        <f>IF(ISNA(VLOOKUP($E$29,'Val-Départ'!Y13:AD13,6,FALSE)),,VLOOKUP($E$29,'Val-Départ'!Y13:AD13,6,FALSE))</f>
        <v>0</v>
      </c>
      <c r="G31" s="680"/>
      <c r="H31" s="676"/>
      <c r="I31" s="677"/>
      <c r="J31" s="636"/>
      <c r="K31" s="406"/>
      <c r="L31" s="4"/>
      <c r="M31" s="660">
        <f>IF(ISNA(VLOOKUP($M$29,'Val-Départ'!B35:AK35,35,FALSE)),,VLOOKUP($M$29,'Val-Départ'!B35:AK35,35,FALSE))</f>
        <v>0</v>
      </c>
      <c r="N31" s="681">
        <f>IF(ISNA(VLOOKUP($M$29,'Val-Départ'!AF35:AK35,6,FALSE)),,VLOOKUP($M$29,'Val-Départ'!AF35:AK35,6,FALSE))</f>
        <v>0</v>
      </c>
      <c r="O31" s="4"/>
      <c r="P31" s="231">
        <v>35</v>
      </c>
      <c r="Q31" s="4"/>
      <c r="R31" s="655"/>
      <c r="S31" s="628"/>
      <c r="T31" s="628"/>
      <c r="U31" s="628"/>
      <c r="V31" s="628"/>
    </row>
    <row r="32" spans="1:22">
      <c r="A32" s="4"/>
      <c r="B32" s="645"/>
      <c r="C32" s="231">
        <v>14</v>
      </c>
      <c r="D32" s="4"/>
      <c r="E32" s="656">
        <f>IF(ISNA(VLOOKUP($E$29,'Val-Départ'!B14:W14,18,FALSE)),,VLOOKUP($E$29,'Val-Départ'!B14:W14,18,FALSE))</f>
        <v>0</v>
      </c>
      <c r="F32" s="657">
        <f>IF(ISNA(VLOOKUP($E$29,'Val-Départ'!Y14:AD14,6,FALSE)),,VLOOKUP($E$29,'Val-Départ'!Y14:AD14,6,FALSE))</f>
        <v>1115.52</v>
      </c>
      <c r="G32" s="680"/>
      <c r="H32" s="676"/>
      <c r="I32" s="677"/>
      <c r="J32" s="636"/>
      <c r="K32" s="406"/>
      <c r="L32" s="4"/>
      <c r="M32" s="660">
        <f>IF(ISNA(VLOOKUP($M$29,'Val-Départ'!B36:AK36,35,FALSE)),,VLOOKUP($M$29,'Val-Départ'!B36:AK36,35,FALSE))</f>
        <v>550</v>
      </c>
      <c r="N32" s="681">
        <f>IF(ISNA(VLOOKUP($M$29,'Val-Départ'!AF36:AK36,6,FALSE)),,VLOOKUP($M$29,'Val-Départ'!AF36:AK36,6,FALSE))</f>
        <v>1688.76</v>
      </c>
      <c r="O32" s="4"/>
      <c r="P32" s="231">
        <v>36</v>
      </c>
      <c r="Q32" s="4"/>
      <c r="R32" s="655"/>
      <c r="S32" s="628"/>
      <c r="T32" s="628"/>
      <c r="U32" s="628"/>
      <c r="V32" s="628"/>
    </row>
    <row r="33" spans="1:22">
      <c r="A33" s="4"/>
      <c r="B33" s="645"/>
      <c r="C33" s="231">
        <v>15</v>
      </c>
      <c r="D33" s="4"/>
      <c r="E33" s="656">
        <f>IF(ISNA(VLOOKUP($E$29,'Val-Départ'!B15:W15,18,FALSE)),,VLOOKUP($E$29,'Val-Départ'!B15:W15,18,FALSE))</f>
        <v>0</v>
      </c>
      <c r="F33" s="657">
        <f>IF(ISNA(VLOOKUP($E$29,'Val-Départ'!Y15:AD15,6,FALSE)),,VLOOKUP($E$29,'Val-Départ'!Y15:AD15,6,FALSE))</f>
        <v>0</v>
      </c>
      <c r="G33" s="680"/>
      <c r="H33" s="676"/>
      <c r="I33" s="677"/>
      <c r="J33" s="636"/>
      <c r="K33" s="406"/>
      <c r="L33" s="4"/>
      <c r="M33" s="660">
        <f>IF(ISNA(VLOOKUP($M$29,'Val-Départ'!B37:AK37,35,FALSE)),,VLOOKUP($M$29,'Val-Départ'!B37:AK37,35,FALSE))</f>
        <v>0</v>
      </c>
      <c r="N33" s="681">
        <f>IF(ISNA(VLOOKUP($M$29,'Val-Départ'!AF37:AK37,6,FALSE)),,VLOOKUP($M$29,'Val-Départ'!AF37:AK37,6,FALSE))</f>
        <v>0</v>
      </c>
      <c r="O33" s="4"/>
      <c r="P33" s="231">
        <v>37</v>
      </c>
      <c r="Q33" s="4"/>
      <c r="R33" s="655"/>
      <c r="S33" s="628"/>
      <c r="T33" s="628"/>
      <c r="U33" s="628"/>
      <c r="V33" s="628"/>
    </row>
    <row r="34" spans="1:22">
      <c r="A34" s="4"/>
      <c r="B34" s="645"/>
      <c r="C34" s="231">
        <v>16</v>
      </c>
      <c r="D34" s="4"/>
      <c r="E34" s="656">
        <f>IF(ISNA(VLOOKUP($E$29,'Val-Départ'!B16:W16,18,FALSE)),,VLOOKUP($E$29,'Val-Départ'!B16:W16,18,FALSE))</f>
        <v>0</v>
      </c>
      <c r="F34" s="657">
        <f>IF(ISNA(VLOOKUP($E$29,'Val-Départ'!Y16:AD16,6,FALSE)),,VLOOKUP($E$29,'Val-Départ'!Y16:AD16,6,FALSE))</f>
        <v>0</v>
      </c>
      <c r="G34" s="680"/>
      <c r="H34" s="676"/>
      <c r="I34" s="677"/>
      <c r="J34" s="636"/>
      <c r="K34" s="406"/>
      <c r="L34" s="4"/>
      <c r="M34" s="660">
        <f>IF(ISNA(VLOOKUP($M$29,'Val-Départ'!B38:AK38,35,FALSE)),,VLOOKUP($M$29,'Val-Départ'!B38:AK38,35,FALSE))</f>
        <v>0</v>
      </c>
      <c r="N34" s="681">
        <f>IF(ISNA(VLOOKUP($M$29,'Val-Départ'!AF38:AK38,6,FALSE)),,VLOOKUP($M$29,'Val-Départ'!AF38:AK38,6,FALSE))</f>
        <v>0</v>
      </c>
      <c r="O34" s="4"/>
      <c r="P34" s="231">
        <v>38</v>
      </c>
      <c r="Q34" s="4"/>
      <c r="R34" s="655"/>
      <c r="S34" s="628"/>
      <c r="T34" s="628"/>
      <c r="U34" s="628"/>
      <c r="V34" s="628"/>
    </row>
    <row r="35" spans="1:22">
      <c r="A35" s="4"/>
      <c r="B35" s="645"/>
      <c r="C35" s="231">
        <v>17</v>
      </c>
      <c r="D35" s="4"/>
      <c r="E35" s="656">
        <f>IF(ISNA(VLOOKUP($E$29,'Val-Départ'!B17:W17,18,FALSE)),,VLOOKUP($E$29,'Val-Départ'!B17:W17,18,FALSE))</f>
        <v>0</v>
      </c>
      <c r="F35" s="657">
        <f>IF(ISNA(VLOOKUP($E$29,'Val-Départ'!Y17:AD17,6,FALSE)),,VLOOKUP($E$29,'Val-Départ'!Y17:AD17,6,FALSE))</f>
        <v>0</v>
      </c>
      <c r="G35" s="680"/>
      <c r="H35" s="676"/>
      <c r="I35" s="677"/>
      <c r="J35" s="636"/>
      <c r="K35" s="406"/>
      <c r="L35" s="4"/>
      <c r="M35" s="660">
        <f>IF(ISNA(VLOOKUP($M$29,'Val-Départ'!B39:AK39,35,FALSE)),,VLOOKUP($M$29,'Val-Départ'!B39:AK39,35,FALSE))</f>
        <v>0</v>
      </c>
      <c r="N35" s="681">
        <f>IF(ISNA(VLOOKUP($M$29,'Val-Départ'!AF39:AK39,6,FALSE)),,VLOOKUP($M$29,'Val-Départ'!AF39:AK39,6,FALSE))</f>
        <v>0</v>
      </c>
      <c r="O35" s="4"/>
      <c r="P35" s="231">
        <v>39</v>
      </c>
      <c r="Q35" s="4"/>
      <c r="R35" s="655"/>
      <c r="S35" s="628"/>
      <c r="T35" s="628"/>
      <c r="U35" s="628"/>
      <c r="V35" s="628"/>
    </row>
    <row r="36" spans="1:22">
      <c r="A36" s="4"/>
      <c r="B36" s="645"/>
      <c r="C36" s="231">
        <v>18</v>
      </c>
      <c r="D36" s="4"/>
      <c r="E36" s="656">
        <f>IF(ISNA(VLOOKUP($E$29,'Val-Départ'!B18:W18,18,FALSE)),,VLOOKUP($E$29,'Val-Départ'!B18:W18,18,FALSE))</f>
        <v>0</v>
      </c>
      <c r="F36" s="657">
        <f>IF(ISNA(VLOOKUP($E$29,'Val-Départ'!Y18:AD18,6,FALSE)),,VLOOKUP($E$29,'Val-Départ'!Y18:AD18,6,FALSE))</f>
        <v>0</v>
      </c>
      <c r="G36" s="680"/>
      <c r="H36" s="676"/>
      <c r="I36" s="677"/>
      <c r="J36" s="636"/>
      <c r="K36" s="406"/>
      <c r="L36" s="4"/>
      <c r="M36" s="660">
        <f>IF(ISNA(VLOOKUP($M$29,'Val-Départ'!B40:AK40,35,FALSE)),,VLOOKUP($M$29,'Val-Départ'!B40:AK40,35,FALSE))</f>
        <v>0</v>
      </c>
      <c r="N36" s="681">
        <f>IF(ISNA(VLOOKUP($M$29,'Val-Départ'!AF40:AK40,6,FALSE)),,VLOOKUP($M$29,'Val-Départ'!AF40:AK40,6,FALSE))</f>
        <v>0</v>
      </c>
      <c r="O36" s="4"/>
      <c r="P36" s="231">
        <v>40</v>
      </c>
      <c r="Q36" s="4"/>
      <c r="R36" s="655"/>
      <c r="S36" s="628"/>
      <c r="T36" s="628"/>
      <c r="U36" s="628"/>
      <c r="V36" s="628"/>
    </row>
    <row r="37" spans="1:22">
      <c r="A37" s="4"/>
      <c r="B37" s="645"/>
      <c r="C37" s="231">
        <v>19</v>
      </c>
      <c r="D37" s="4"/>
      <c r="E37" s="656">
        <f>IF(ISNA(VLOOKUP($E$29,'Val-Départ'!B19:W19,18,FALSE)),,VLOOKUP($E$29,'Val-Départ'!B19:W19,18,FALSE))</f>
        <v>0</v>
      </c>
      <c r="F37" s="657">
        <f>IF(ISNA(VLOOKUP($E$29,'Val-Départ'!Y19:AD19,6,FALSE)),,VLOOKUP($E$29,'Val-Départ'!Y19:AD19,6,FALSE))</f>
        <v>0</v>
      </c>
      <c r="G37" s="682"/>
      <c r="H37" s="683"/>
      <c r="I37" s="684"/>
      <c r="J37" s="636"/>
      <c r="K37" s="406"/>
      <c r="L37" s="4"/>
      <c r="M37" s="660">
        <f>IF(ISNA(VLOOKUP($M$29,'Val-Départ'!B41:AK41,35,FALSE)),,VLOOKUP($M$29,'Val-Départ'!B41:AK41,35,FALSE))</f>
        <v>0</v>
      </c>
      <c r="N37" s="681">
        <f>IF(ISNA(VLOOKUP($M$29,'Val-Départ'!AF41:AK41,6,FALSE)),,VLOOKUP($M$29,'Val-Départ'!AF41:AK41,6,FALSE))</f>
        <v>0</v>
      </c>
      <c r="O37" s="4"/>
      <c r="P37" s="231">
        <v>41</v>
      </c>
      <c r="Q37" s="4"/>
      <c r="R37" s="655"/>
      <c r="S37" s="628"/>
      <c r="T37" s="628"/>
      <c r="U37" s="628"/>
      <c r="V37" s="628"/>
    </row>
    <row r="38" spans="1:22">
      <c r="A38" s="4"/>
      <c r="B38" s="645"/>
      <c r="C38" s="231">
        <v>20</v>
      </c>
      <c r="D38" s="4"/>
      <c r="E38" s="656">
        <f>IF(ISNA(VLOOKUP($E$29,'Val-Départ'!B20:W20,18,FALSE)),,VLOOKUP($E$29,'Val-Départ'!B20:W20,18,FALSE))</f>
        <v>0</v>
      </c>
      <c r="F38" s="657">
        <f>IF(ISNA(VLOOKUP($E$29,'Val-Départ'!Y20:AD20,6,FALSE)),,VLOOKUP($E$29,'Val-Départ'!Y20:AD20,6,FALSE))</f>
        <v>0</v>
      </c>
      <c r="G38" s="4"/>
      <c r="H38" s="655"/>
      <c r="I38" s="635"/>
      <c r="J38" s="636"/>
      <c r="K38" s="406"/>
      <c r="L38" s="4"/>
      <c r="M38" s="660">
        <f>IF(ISNA(VLOOKUP($M$29,'Val-Départ'!B42:AK42,35,FALSE)),,VLOOKUP($M$29,'Val-Départ'!B42:AK42,35,FALSE))</f>
        <v>0</v>
      </c>
      <c r="N38" s="681">
        <f>IF(ISNA(VLOOKUP($M$29,'Val-Départ'!AF42:AK42,6,FALSE)),,VLOOKUP($M$29,'Val-Départ'!AF42:AK42,6,FALSE))</f>
        <v>0</v>
      </c>
      <c r="O38" s="4"/>
      <c r="P38" s="231">
        <v>42</v>
      </c>
      <c r="Q38" s="4"/>
      <c r="R38" s="655"/>
      <c r="S38" s="628"/>
      <c r="T38" s="628"/>
      <c r="U38" s="628"/>
      <c r="V38" s="628"/>
    </row>
    <row r="39" spans="1:22" s="737" customFormat="1">
      <c r="A39" s="4"/>
      <c r="B39" s="645"/>
      <c r="C39" s="231">
        <v>21</v>
      </c>
      <c r="D39" s="4"/>
      <c r="E39" s="656">
        <f>IF(ISNA(VLOOKUP($E$29,'Val-Départ'!B21:W21,18,FALSE)),,VLOOKUP($E$29,'Val-Départ'!B21:W21,18,FALSE))</f>
        <v>0</v>
      </c>
      <c r="F39" s="657">
        <f>IF(ISNA(VLOOKUP($E$29,'Val-Départ'!Y21:AD21,6,FALSE)),,VLOOKUP($E$29,'Val-Départ'!Y21:AD21,6,FALSE))</f>
        <v>0</v>
      </c>
      <c r="G39" s="4"/>
      <c r="H39" s="655"/>
      <c r="I39" s="635"/>
      <c r="J39" s="636"/>
      <c r="K39" s="406"/>
      <c r="L39" s="4"/>
      <c r="M39" s="660">
        <f>IF(ISNA(VLOOKUP($M$29,'Val-Départ'!B43:AK43,35,FALSE)),,VLOOKUP($M$29,'Val-Départ'!B43:AK43,35,FALSE))</f>
        <v>0</v>
      </c>
      <c r="N39" s="681">
        <f>IF(ISNA(VLOOKUP($M$29,'Val-Départ'!AF43:AK43,6,FALSE)),,VLOOKUP($M$29,'Val-Départ'!AF43:AK43,6,FALSE))</f>
        <v>0</v>
      </c>
      <c r="O39" s="4"/>
      <c r="P39" s="231">
        <v>43</v>
      </c>
      <c r="Q39" s="4"/>
      <c r="R39" s="655"/>
    </row>
    <row r="40" spans="1:22" s="737" customFormat="1">
      <c r="A40" s="4"/>
      <c r="B40" s="645"/>
      <c r="C40" s="231">
        <v>22</v>
      </c>
      <c r="D40" s="4"/>
      <c r="E40" s="656">
        <f>IF(ISNA(VLOOKUP($E$29,'Val-Départ'!B22:W22,18,FALSE)),,VLOOKUP($E$29,'Val-Départ'!B22:W22,18,FALSE))</f>
        <v>0</v>
      </c>
      <c r="F40" s="657">
        <f>IF(ISNA(VLOOKUP($E$29,'Val-Départ'!Y22:AD22,6,FALSE)),,VLOOKUP($E$29,'Val-Départ'!Y22:AD22,6,FALSE))</f>
        <v>0</v>
      </c>
      <c r="G40" s="4"/>
      <c r="H40" s="655"/>
      <c r="I40" s="635"/>
      <c r="J40" s="636"/>
      <c r="K40" s="406"/>
      <c r="L40" s="4"/>
      <c r="M40" s="660">
        <f>IF(ISNA(VLOOKUP($M$29,'Val-Départ'!B44:AK44,35,FALSE)),,VLOOKUP($M$29,'Val-Départ'!B44:AK44,35,FALSE))</f>
        <v>0</v>
      </c>
      <c r="N40" s="681">
        <f>IF(ISNA(VLOOKUP($M$29,'Val-Départ'!AF44:AK44,6,FALSE)),,VLOOKUP($M$29,'Val-Départ'!AF44:AK44,6,FALSE))</f>
        <v>0</v>
      </c>
      <c r="O40" s="4"/>
      <c r="P40" s="231">
        <v>44</v>
      </c>
      <c r="Q40" s="4"/>
      <c r="R40" s="655"/>
    </row>
    <row r="41" spans="1:22" s="737" customFormat="1" ht="15.75" thickBot="1">
      <c r="A41" s="4"/>
      <c r="B41" s="645"/>
      <c r="C41" s="231">
        <v>23</v>
      </c>
      <c r="D41" s="4"/>
      <c r="E41" s="656">
        <f>IF(ISNA(VLOOKUP($E$29,'Val-Départ'!B23:W23,18,FALSE)),,VLOOKUP($E$29,'Val-Départ'!B23:W23,18,FALSE))</f>
        <v>0</v>
      </c>
      <c r="F41" s="657">
        <f>IF(ISNA(VLOOKUP($E$29,'Val-Départ'!Y23:AD23,6,FALSE)),,VLOOKUP($E$29,'Val-Départ'!Y23:AD23,6,FALSE))</f>
        <v>0</v>
      </c>
      <c r="G41" s="4"/>
      <c r="H41" s="655"/>
      <c r="I41" s="635"/>
      <c r="J41" s="636"/>
      <c r="K41" s="406"/>
      <c r="L41" s="4"/>
      <c r="M41" s="660">
        <f>IF(ISNA(VLOOKUP($M$29,'Val-Départ'!B45:AK45,35,FALSE)),,VLOOKUP($M$29,'Val-Départ'!B45:AK45,35,FALSE))</f>
        <v>0</v>
      </c>
      <c r="N41" s="681">
        <f>IF(ISNA(VLOOKUP($M$29,'Val-Départ'!AF45:AK45,6,FALSE)),,VLOOKUP($M$29,'Val-Départ'!AF45:AK45,6,FALSE))</f>
        <v>0</v>
      </c>
      <c r="O41" s="4"/>
      <c r="P41" s="231">
        <v>45</v>
      </c>
      <c r="Q41" s="4"/>
      <c r="R41" s="655"/>
    </row>
    <row r="42" spans="1:22">
      <c r="A42" s="4"/>
      <c r="B42" s="645"/>
      <c r="C42" s="4"/>
      <c r="D42" s="216"/>
      <c r="E42" s="299">
        <f>SUM(E30:E38)</f>
        <v>758.12</v>
      </c>
      <c r="F42" s="663">
        <f>SUM(F31:F38)</f>
        <v>1115.52</v>
      </c>
      <c r="G42" s="216"/>
      <c r="H42" s="655"/>
      <c r="I42" s="635"/>
      <c r="J42" s="636"/>
      <c r="K42" s="406"/>
      <c r="L42" s="216"/>
      <c r="M42" s="311">
        <f>SUM(M31:M38)</f>
        <v>550</v>
      </c>
      <c r="N42" s="664">
        <f>SUM(N29:N38)</f>
        <v>2804.2799999999997</v>
      </c>
      <c r="O42" s="665" t="s">
        <v>260</v>
      </c>
      <c r="P42" s="666"/>
      <c r="Q42" s="4"/>
      <c r="R42" s="655"/>
      <c r="S42" s="628"/>
      <c r="T42" s="628"/>
      <c r="U42" s="628"/>
      <c r="V42" s="628"/>
    </row>
    <row r="43" spans="1:22" ht="19.5" thickBot="1">
      <c r="A43" s="4"/>
      <c r="B43" s="667"/>
      <c r="C43" s="668"/>
      <c r="D43" s="668" t="s">
        <v>261</v>
      </c>
      <c r="E43" s="669">
        <f>E42-F42</f>
        <v>-357.4</v>
      </c>
      <c r="F43" s="1662" t="s">
        <v>448</v>
      </c>
      <c r="G43" s="1662"/>
      <c r="H43" s="1684"/>
      <c r="I43" s="629"/>
      <c r="J43" s="685"/>
      <c r="K43" s="686"/>
      <c r="L43" s="668"/>
      <c r="M43" s="668"/>
      <c r="N43" s="672">
        <f>(N42-M42)</f>
        <v>2254.2799999999997</v>
      </c>
      <c r="O43" s="668"/>
      <c r="P43" s="687"/>
      <c r="Q43" s="1682" t="s">
        <v>449</v>
      </c>
      <c r="R43" s="1683"/>
      <c r="S43" s="628"/>
      <c r="T43" s="628"/>
      <c r="U43" s="628"/>
      <c r="V43" s="628"/>
    </row>
    <row r="44" spans="1:22" ht="15.75" thickTop="1">
      <c r="A44" s="4"/>
      <c r="B44" s="637"/>
      <c r="C44" s="638"/>
      <c r="D44" s="638"/>
      <c r="E44" s="725" t="s">
        <v>456</v>
      </c>
      <c r="F44" s="638"/>
      <c r="G44" s="638"/>
      <c r="H44" s="641"/>
      <c r="I44" s="635"/>
      <c r="J44" s="636"/>
      <c r="K44" s="642"/>
      <c r="L44" s="638"/>
      <c r="M44" s="725" t="s">
        <v>456</v>
      </c>
      <c r="N44" s="638"/>
      <c r="O44" s="638"/>
      <c r="P44" s="643"/>
      <c r="Q44" s="638"/>
      <c r="R44" s="641"/>
      <c r="S44" s="628"/>
      <c r="T44" s="628"/>
      <c r="U44" s="628"/>
      <c r="V44" s="628"/>
    </row>
    <row r="45" spans="1:22" ht="15.75" thickBot="1">
      <c r="A45" s="4"/>
      <c r="B45" s="645"/>
      <c r="C45" s="4"/>
      <c r="D45" s="249" t="s">
        <v>263</v>
      </c>
      <c r="E45" s="639" t="str">
        <f t="array" ref="E45">INDEX('Val-Départ'!B$1:B$23,MIN(IF(COUNTIF('Liv-Four-client'!E$11:E44,'Val-Départ'!B$13:B$23)=0,ROW($13:$23))))</f>
        <v>C0003</v>
      </c>
      <c r="F45" s="640" t="str">
        <f>IFERROR(VLOOKUP($E$45,'Val-Départ'!$B$13:$D$23,2,FALSE),"")</f>
        <v>Jacques</v>
      </c>
      <c r="G45" s="249" t="s">
        <v>262</v>
      </c>
      <c r="H45" s="655"/>
      <c r="I45" s="635"/>
      <c r="J45" s="636"/>
      <c r="K45" s="406"/>
      <c r="L45" s="249" t="s">
        <v>263</v>
      </c>
      <c r="M45" s="639" t="str">
        <f t="array" ref="M45">INDEX('Val-Départ'!B$1:B$45,MIN(IF(COUNTIF('Liv-Four-client'!M$11:M44,'Val-Départ'!$B$35:$B$45)=0,ROW($35:$45))))</f>
        <v>F0003</v>
      </c>
      <c r="N45" s="640" t="str">
        <f>IFERROR(VLOOKUP($M$45,'Val-Départ'!$B$35:$D$45,2,FALSE),"")</f>
        <v>Pierre</v>
      </c>
      <c r="O45" s="249" t="s">
        <v>262</v>
      </c>
      <c r="P45" s="231"/>
      <c r="Q45" s="4"/>
      <c r="R45" s="655"/>
      <c r="S45" s="628"/>
      <c r="T45" s="628"/>
      <c r="U45" s="628"/>
      <c r="V45" s="628"/>
    </row>
    <row r="46" spans="1:22">
      <c r="A46" s="4"/>
      <c r="B46" s="645"/>
      <c r="C46" s="4"/>
      <c r="D46" s="673" t="s">
        <v>278</v>
      </c>
      <c r="E46" s="647">
        <f>IFERROR(VLOOKUP($E$45,'Val-Départ'!$B$12:$D$19,3,FALSE),"")</f>
        <v>2142.0300000000002</v>
      </c>
      <c r="F46" s="674" t="s">
        <v>282</v>
      </c>
      <c r="G46" s="678"/>
      <c r="H46" s="655"/>
      <c r="I46" s="635"/>
      <c r="J46" s="636"/>
      <c r="K46" s="406"/>
      <c r="L46" s="678"/>
      <c r="M46" s="679" t="s">
        <v>279</v>
      </c>
      <c r="N46" s="647">
        <f>IFERROR(VLOOKUP($M$45,'Val-Départ'!$B$37:$D$45,3,FALSE),"")</f>
        <v>1859.2</v>
      </c>
      <c r="O46" s="673" t="s">
        <v>278</v>
      </c>
      <c r="P46" s="231"/>
      <c r="Q46" s="4"/>
      <c r="R46" s="655"/>
      <c r="S46" s="628"/>
      <c r="T46" s="628"/>
      <c r="U46" s="628"/>
      <c r="V46" s="628"/>
    </row>
    <row r="47" spans="1:22">
      <c r="A47" s="4"/>
      <c r="B47" s="645"/>
      <c r="C47" s="231">
        <v>13</v>
      </c>
      <c r="D47" s="134"/>
      <c r="E47" s="656">
        <f>IF(ISNA(VLOOKUP(E$45,'Val-Départ'!B13:W13,18,FALSE)),,VLOOKUP(E$45,'Val-Départ'!B13:W13,18,FALSE))</f>
        <v>0</v>
      </c>
      <c r="F47" s="657">
        <f>IF(ISNA(VLOOKUP($E$45,'Val-Départ'!Y13:AD13,6,FALSE)),,VLOOKUP($E$45,'Val-Départ'!Y13:AD13,6,FALSE))</f>
        <v>0</v>
      </c>
      <c r="G47" s="4"/>
      <c r="H47" s="655"/>
      <c r="I47" s="635"/>
      <c r="J47" s="636"/>
      <c r="K47" s="406"/>
      <c r="L47" s="4"/>
      <c r="M47" s="660">
        <f>IF(ISNA(VLOOKUP($M$45,'Val-Départ'!B35:AK35,35,FALSE)),,VLOOKUP($M$45,'Val-Départ'!B35:AK35,35,FALSE))</f>
        <v>0</v>
      </c>
      <c r="N47" s="681">
        <f>IF(ISNA(VLOOKUP($M$45,'Val-Départ'!AF35:AK35,6,FALSE)),,VLOOKUP($M$45,'Val-Départ'!AF35:AK35,6,FALSE))</f>
        <v>0</v>
      </c>
      <c r="O47" s="134"/>
      <c r="P47" s="231">
        <v>35</v>
      </c>
      <c r="Q47" s="4"/>
      <c r="R47" s="655"/>
      <c r="S47" s="628"/>
      <c r="T47" s="628"/>
      <c r="U47" s="628"/>
      <c r="V47" s="628"/>
    </row>
    <row r="48" spans="1:22">
      <c r="A48" s="4"/>
      <c r="B48" s="645"/>
      <c r="C48" s="231">
        <v>14</v>
      </c>
      <c r="D48" s="134"/>
      <c r="E48" s="656">
        <f>IF(ISNA(VLOOKUP(E$45,'Val-Départ'!B14:W14,18,FALSE)),,VLOOKUP(E$45,'Val-Départ'!B14:W14,18,FALSE))</f>
        <v>0</v>
      </c>
      <c r="F48" s="657">
        <f>IF(ISNA(VLOOKUP($E$45,'Val-Départ'!Y14:AD14,6,FALSE)),,VLOOKUP($E$45,'Val-Départ'!Y14:AD14,6,FALSE))</f>
        <v>0</v>
      </c>
      <c r="G48" s="4"/>
      <c r="H48" s="655"/>
      <c r="I48" s="635"/>
      <c r="J48" s="636"/>
      <c r="K48" s="406"/>
      <c r="L48" s="4"/>
      <c r="M48" s="660">
        <f>IF(ISNA(VLOOKUP($M$45,'Val-Départ'!B36:AK36,35,FALSE)),,VLOOKUP($M$45,'Val-Départ'!B36:AK36,35,FALSE))</f>
        <v>0</v>
      </c>
      <c r="N48" s="681">
        <f>IF(ISNA(VLOOKUP($M$45,'Val-Départ'!AF36:AK36,6,FALSE)),,VLOOKUP($M$45,'Val-Départ'!AF36:AK36,6,FALSE))</f>
        <v>0</v>
      </c>
      <c r="O48" s="134"/>
      <c r="P48" s="231">
        <v>36</v>
      </c>
      <c r="Q48" s="4"/>
      <c r="R48" s="655"/>
      <c r="S48" s="628"/>
      <c r="T48" s="628"/>
      <c r="U48" s="628"/>
      <c r="V48" s="628"/>
    </row>
    <row r="49" spans="1:22">
      <c r="A49" s="4"/>
      <c r="B49" s="645"/>
      <c r="C49" s="231">
        <v>15</v>
      </c>
      <c r="D49" s="134"/>
      <c r="E49" s="656">
        <f>IF(ISNA(VLOOKUP(E$45,'Val-Départ'!B15:W15,18,FALSE)),,VLOOKUP(E$45,'Val-Départ'!B15:W15,18,FALSE))</f>
        <v>0</v>
      </c>
      <c r="F49" s="657">
        <f>IF(ISNA(VLOOKUP($E$45,'Val-Départ'!Y15:AD15,6,FALSE)),,VLOOKUP($E$45,'Val-Départ'!Y15:AD15,6,FALSE))</f>
        <v>0</v>
      </c>
      <c r="G49" s="4"/>
      <c r="H49" s="655"/>
      <c r="I49" s="635"/>
      <c r="J49" s="636"/>
      <c r="K49" s="406"/>
      <c r="L49" s="4"/>
      <c r="M49" s="660">
        <f>IF(ISNA(VLOOKUP($M$45,'Val-Départ'!B37:AK37,35,FALSE)),,VLOOKUP($M$45,'Val-Départ'!B37:AK37,35,FALSE))</f>
        <v>550</v>
      </c>
      <c r="N49" s="681">
        <f>IF(ISNA(VLOOKUP($M$45,'Val-Départ'!AF37:AK37,6,FALSE)),,VLOOKUP($M$45,'Val-Départ'!AF37:AK37,6,FALSE))</f>
        <v>0</v>
      </c>
      <c r="O49" s="134"/>
      <c r="P49" s="231">
        <v>37</v>
      </c>
      <c r="Q49" s="4"/>
      <c r="R49" s="655"/>
      <c r="S49" s="628"/>
      <c r="T49" s="628"/>
      <c r="U49" s="628"/>
      <c r="V49" s="628"/>
    </row>
    <row r="50" spans="1:22">
      <c r="A50" s="4"/>
      <c r="B50" s="645"/>
      <c r="C50" s="231">
        <v>16</v>
      </c>
      <c r="D50" s="134"/>
      <c r="E50" s="656">
        <f>IF(ISNA(VLOOKUP(E$45,'Val-Départ'!B16:W16,18,FALSE)),,VLOOKUP(E$45,'Val-Départ'!B16:W16,18,FALSE))</f>
        <v>0</v>
      </c>
      <c r="F50" s="657">
        <f>IF(ISNA(VLOOKUP($E$45,'Val-Départ'!Y16:AD16,6,FALSE)),,VLOOKUP($E$45,'Val-Départ'!Y16:AD16,6,FALSE))</f>
        <v>0</v>
      </c>
      <c r="G50" s="4"/>
      <c r="H50" s="655"/>
      <c r="I50" s="635"/>
      <c r="J50" s="636"/>
      <c r="K50" s="406"/>
      <c r="L50" s="4"/>
      <c r="M50" s="660">
        <f>IF(ISNA(VLOOKUP($M$45,'Val-Départ'!B38:AK38,35,FALSE)),,VLOOKUP($M$45,'Val-Départ'!B38:AK38,35,FALSE))</f>
        <v>0</v>
      </c>
      <c r="N50" s="681">
        <f>IF(ISNA(VLOOKUP($M$45,'Val-Départ'!AF38:AK38,6,FALSE)),,VLOOKUP($M$45,'Val-Départ'!AF38:AK38,6,FALSE))</f>
        <v>0</v>
      </c>
      <c r="O50" s="134"/>
      <c r="P50" s="231">
        <v>38</v>
      </c>
      <c r="Q50" s="4"/>
      <c r="R50" s="655"/>
      <c r="S50" s="628"/>
      <c r="T50" s="628"/>
      <c r="U50" s="628"/>
      <c r="V50" s="628"/>
    </row>
    <row r="51" spans="1:22">
      <c r="A51" s="4"/>
      <c r="B51" s="688"/>
      <c r="C51" s="231">
        <v>17</v>
      </c>
      <c r="D51" s="680"/>
      <c r="E51" s="656">
        <f>IF(ISNA(VLOOKUP(E$45,'Val-Départ'!B17:W17,18,FALSE)),,VLOOKUP(E$45,'Val-Départ'!B17:W17,18,FALSE))</f>
        <v>0</v>
      </c>
      <c r="F51" s="657">
        <f>IF(ISNA(VLOOKUP($E$45,'Val-Départ'!Y17:AD17,6,FALSE)),,VLOOKUP($E$45,'Val-Départ'!Y17:AD17,6,FALSE))</f>
        <v>0</v>
      </c>
      <c r="G51" s="680"/>
      <c r="H51" s="676"/>
      <c r="I51" s="677"/>
      <c r="J51" s="636"/>
      <c r="K51" s="406"/>
      <c r="L51" s="4"/>
      <c r="M51" s="660">
        <f>IF(ISNA(VLOOKUP($M$45,'Val-Départ'!B39:AK39,35,FALSE)),,VLOOKUP($M$45,'Val-Départ'!B39:AK39,35,FALSE))</f>
        <v>0</v>
      </c>
      <c r="N51" s="681">
        <f>IF(ISNA(VLOOKUP($M$45,'Val-Départ'!AF39:AK39,6,FALSE)),,VLOOKUP($M$45,'Val-Départ'!AF39:AK39,6,FALSE))</f>
        <v>0</v>
      </c>
      <c r="O51" s="4"/>
      <c r="P51" s="231">
        <v>39</v>
      </c>
      <c r="Q51" s="4"/>
      <c r="R51" s="655"/>
      <c r="S51" s="628"/>
      <c r="T51" s="628"/>
      <c r="U51" s="628"/>
      <c r="V51" s="628"/>
    </row>
    <row r="52" spans="1:22">
      <c r="A52" s="4"/>
      <c r="B52" s="645"/>
      <c r="C52" s="231">
        <v>18</v>
      </c>
      <c r="D52" s="4"/>
      <c r="E52" s="656">
        <f>IF(ISNA(VLOOKUP(E$45,'Val-Départ'!B18:W18,18,FALSE)),,VLOOKUP(E$45,'Val-Départ'!B18:W18,18,FALSE))</f>
        <v>0</v>
      </c>
      <c r="F52" s="657">
        <f>IF(ISNA(VLOOKUP($E$45,'Val-Départ'!Y18:AD18,6,FALSE)),,VLOOKUP($E$45,'Val-Départ'!Y18:AD18,6,FALSE))</f>
        <v>0</v>
      </c>
      <c r="G52" s="682"/>
      <c r="H52" s="689"/>
      <c r="I52" s="629"/>
      <c r="J52" s="636"/>
      <c r="K52" s="406"/>
      <c r="L52" s="4"/>
      <c r="M52" s="660">
        <f>IF(ISNA(VLOOKUP($M$45,'Val-Départ'!B40:AK40,35,FALSE)),,VLOOKUP($M$45,'Val-Départ'!B40:AK40,35,FALSE))</f>
        <v>0</v>
      </c>
      <c r="N52" s="681">
        <f>IF(ISNA(VLOOKUP($M$45,'Val-Départ'!AF40:AK40,6,FALSE)),,VLOOKUP($M$45,'Val-Départ'!AF40:AK40,6,FALSE))</f>
        <v>0</v>
      </c>
      <c r="O52" s="4"/>
      <c r="P52" s="231">
        <v>40</v>
      </c>
      <c r="Q52" s="4"/>
      <c r="R52" s="655"/>
      <c r="S52" s="628"/>
      <c r="T52" s="628"/>
      <c r="U52" s="628"/>
      <c r="V52" s="628"/>
    </row>
    <row r="53" spans="1:22">
      <c r="A53" s="4"/>
      <c r="B53" s="645"/>
      <c r="C53" s="231">
        <v>19</v>
      </c>
      <c r="D53" s="4"/>
      <c r="E53" s="656">
        <f>IF(ISNA(VLOOKUP(E$45,'Val-Départ'!B19:W19,18,FALSE)),,VLOOKUP(E$45,'Val-Départ'!B19:W19,18,FALSE))</f>
        <v>0</v>
      </c>
      <c r="F53" s="657">
        <f>IF(ISNA(VLOOKUP($E$45,'Val-Départ'!Y19:AD19,6,FALSE)),,VLOOKUP($E$45,'Val-Départ'!Y19:AD19,6,FALSE))</f>
        <v>0</v>
      </c>
      <c r="G53" s="682"/>
      <c r="H53" s="689"/>
      <c r="I53" s="629"/>
      <c r="J53" s="636"/>
      <c r="K53" s="406"/>
      <c r="L53" s="4"/>
      <c r="M53" s="660">
        <f>IF(ISNA(VLOOKUP($M$45,'Val-Départ'!B41:AK41,35,FALSE)),,VLOOKUP($M$45,'Val-Départ'!B41:AK41,35,FALSE))</f>
        <v>0</v>
      </c>
      <c r="N53" s="681">
        <f>IF(ISNA(VLOOKUP($M$45,'Val-Départ'!AF41:AK41,6,FALSE)),,VLOOKUP($M$45,'Val-Départ'!AF41:AK41,6,FALSE))</f>
        <v>0</v>
      </c>
      <c r="O53" s="4"/>
      <c r="P53" s="231">
        <v>41</v>
      </c>
      <c r="Q53" s="4"/>
      <c r="R53" s="655"/>
      <c r="S53" s="628"/>
      <c r="T53" s="628"/>
      <c r="U53" s="628"/>
      <c r="V53" s="628"/>
    </row>
    <row r="54" spans="1:22">
      <c r="A54" s="4"/>
      <c r="B54" s="645"/>
      <c r="C54" s="231">
        <v>20</v>
      </c>
      <c r="D54" s="4"/>
      <c r="E54" s="656">
        <f>IF(ISNA(VLOOKUP(E$45,'Val-Départ'!B20:W20,18,FALSE)),,VLOOKUP(E$45,'Val-Départ'!B20:W20,18,FALSE))</f>
        <v>0</v>
      </c>
      <c r="F54" s="657">
        <f>IF(ISNA(VLOOKUP($E$45,'Val-Départ'!Y20:AD20,6,FALSE)),,VLOOKUP($E$45,'Val-Départ'!Y20:AD20,6,FALSE))</f>
        <v>0</v>
      </c>
      <c r="G54" s="682"/>
      <c r="H54" s="689"/>
      <c r="I54" s="629"/>
      <c r="J54" s="636"/>
      <c r="K54" s="406"/>
      <c r="L54" s="4"/>
      <c r="M54" s="660">
        <f>IF(ISNA(VLOOKUP($M$45,'Val-Départ'!B42:AK42,35,FALSE)),,VLOOKUP($M$45,'Val-Départ'!B42:AK42,35,FALSE))</f>
        <v>0</v>
      </c>
      <c r="N54" s="681">
        <f>IF(ISNA(VLOOKUP($M$45,'Val-Départ'!AF42:AK42,6,FALSE)),,VLOOKUP($M$45,'Val-Départ'!AF42:AK42,6,FALSE))</f>
        <v>0</v>
      </c>
      <c r="O54" s="4"/>
      <c r="P54" s="231">
        <v>42</v>
      </c>
      <c r="Q54" s="4"/>
      <c r="R54" s="655"/>
      <c r="S54" s="628"/>
      <c r="T54" s="628"/>
      <c r="U54" s="628"/>
      <c r="V54" s="628"/>
    </row>
    <row r="55" spans="1:22">
      <c r="A55" s="4"/>
      <c r="B55" s="645"/>
      <c r="C55" s="231">
        <v>21</v>
      </c>
      <c r="D55" s="4"/>
      <c r="E55" s="656">
        <f>IF(ISNA(VLOOKUP(E$45,'Val-Départ'!B21:W21,18,FALSE)),,VLOOKUP(E$45,'Val-Départ'!B21:W21,18,FALSE))</f>
        <v>0</v>
      </c>
      <c r="F55" s="657">
        <f>IF(ISNA(VLOOKUP($E$45,'Val-Départ'!Y21:AD21,6,FALSE)),,VLOOKUP($E$45,'Val-Départ'!Y21:AD21,6,FALSE))</f>
        <v>0</v>
      </c>
      <c r="G55" s="682"/>
      <c r="H55" s="683"/>
      <c r="I55" s="684"/>
      <c r="J55" s="636"/>
      <c r="K55" s="406"/>
      <c r="L55" s="4"/>
      <c r="M55" s="660">
        <f>IF(ISNA(VLOOKUP($M$45,'Val-Départ'!B43:AK43,35,FALSE)),,VLOOKUP($M$45,'Val-Départ'!B43:AK43,35,FALSE))</f>
        <v>0</v>
      </c>
      <c r="N55" s="681">
        <f>IF(ISNA(VLOOKUP($M$45,'Val-Départ'!AF43:AK43,6,FALSE)),,VLOOKUP($M$45,'Val-Départ'!AF43:AK43,6,FALSE))</f>
        <v>0</v>
      </c>
      <c r="O55" s="4"/>
      <c r="P55" s="231">
        <v>43</v>
      </c>
      <c r="Q55" s="4"/>
      <c r="R55" s="655"/>
      <c r="S55" s="628"/>
      <c r="T55" s="628"/>
      <c r="U55" s="628"/>
      <c r="V55" s="628"/>
    </row>
    <row r="56" spans="1:22" ht="15.75" thickBot="1">
      <c r="A56" s="4"/>
      <c r="B56" s="645"/>
      <c r="C56" s="231">
        <v>22</v>
      </c>
      <c r="D56" s="4"/>
      <c r="E56" s="656">
        <f>IF(ISNA(VLOOKUP(E$45,'Val-Départ'!B22:W22,18,FALSE)),,VLOOKUP(E$45,'Val-Départ'!B22:W22,18,FALSE))</f>
        <v>0</v>
      </c>
      <c r="F56" s="657">
        <f>IF(ISNA(VLOOKUP($E$45,'Val-Départ'!Y22:AD22,6,FALSE)),,VLOOKUP($E$45,'Val-Départ'!Y22:AD22,6,FALSE))</f>
        <v>0</v>
      </c>
      <c r="G56" s="139"/>
      <c r="H56" s="689"/>
      <c r="I56" s="629"/>
      <c r="J56" s="636"/>
      <c r="K56" s="406"/>
      <c r="L56" s="4"/>
      <c r="M56" s="660">
        <f>IF(ISNA(VLOOKUP($M$45,'Val-Départ'!B44:AK44,35,FALSE)),,VLOOKUP($M$45,'Val-Départ'!B44:AK44,35,FALSE))</f>
        <v>0</v>
      </c>
      <c r="N56" s="681">
        <f>IF(ISNA(VLOOKUP($M$45,'Val-Départ'!AF44:AK44,6,FALSE)),,VLOOKUP($M$45,'Val-Départ'!AF44:AK44,6,FALSE))</f>
        <v>0</v>
      </c>
      <c r="O56" s="4"/>
      <c r="P56" s="231">
        <v>44</v>
      </c>
      <c r="Q56" s="4"/>
      <c r="R56" s="655"/>
      <c r="S56" s="628"/>
      <c r="T56" s="628"/>
      <c r="U56" s="628"/>
      <c r="V56" s="628"/>
    </row>
    <row r="57" spans="1:22">
      <c r="A57" s="4"/>
      <c r="B57" s="645"/>
      <c r="C57" s="231">
        <v>23</v>
      </c>
      <c r="D57" s="216"/>
      <c r="E57" s="299">
        <f>SUM(E46:E56)</f>
        <v>2142.0300000000002</v>
      </c>
      <c r="F57" s="663">
        <f>SUM(F47:F56)</f>
        <v>0</v>
      </c>
      <c r="G57" s="216"/>
      <c r="H57" s="655"/>
      <c r="I57" s="635"/>
      <c r="J57" s="636"/>
      <c r="K57" s="406"/>
      <c r="L57" s="216"/>
      <c r="M57" s="311">
        <f>SUM(M47:M56)</f>
        <v>550</v>
      </c>
      <c r="N57" s="664">
        <f>SUM(N46:N56)</f>
        <v>1859.2</v>
      </c>
      <c r="O57" s="216"/>
      <c r="P57" s="231">
        <v>45</v>
      </c>
      <c r="Q57" s="4"/>
      <c r="R57" s="655"/>
      <c r="S57" s="628"/>
      <c r="T57" s="628"/>
      <c r="U57" s="628"/>
      <c r="V57" s="628"/>
    </row>
    <row r="58" spans="1:22" ht="19.5" thickBot="1">
      <c r="A58" s="4"/>
      <c r="B58" s="667"/>
      <c r="C58" s="668"/>
      <c r="D58" s="668"/>
      <c r="E58" s="669">
        <f>E57-F57</f>
        <v>2142.0300000000002</v>
      </c>
      <c r="F58" s="1662" t="s">
        <v>450</v>
      </c>
      <c r="G58" s="1662"/>
      <c r="H58" s="1684"/>
      <c r="I58" s="629"/>
      <c r="J58" s="636"/>
      <c r="K58" s="671"/>
      <c r="L58" s="668"/>
      <c r="M58" s="668"/>
      <c r="N58" s="672">
        <f>(N57-M57)</f>
        <v>1309.2</v>
      </c>
      <c r="O58" s="690" t="s">
        <v>260</v>
      </c>
      <c r="P58" s="687"/>
      <c r="Q58" s="1685" t="s">
        <v>451</v>
      </c>
      <c r="R58" s="1686"/>
      <c r="S58" s="628"/>
      <c r="T58" s="628"/>
      <c r="U58" s="628"/>
      <c r="V58" s="628"/>
    </row>
    <row r="59" spans="1:22" ht="15.75" thickTop="1">
      <c r="A59" s="4"/>
      <c r="B59" s="637"/>
      <c r="C59" s="691"/>
      <c r="D59" s="692"/>
      <c r="E59" s="725" t="s">
        <v>456</v>
      </c>
      <c r="F59" s="692"/>
      <c r="G59" s="692"/>
      <c r="H59" s="693"/>
      <c r="I59" s="629"/>
      <c r="J59" s="636"/>
      <c r="K59" s="642"/>
      <c r="L59" s="638"/>
      <c r="M59" s="725" t="s">
        <v>456</v>
      </c>
      <c r="N59" s="638"/>
      <c r="O59" s="638"/>
      <c r="P59" s="643"/>
      <c r="Q59" s="638"/>
      <c r="R59" s="641"/>
      <c r="S59" s="628"/>
      <c r="T59" s="628"/>
      <c r="U59" s="628"/>
      <c r="V59" s="628"/>
    </row>
    <row r="60" spans="1:22" ht="15.75" thickBot="1">
      <c r="A60" s="4"/>
      <c r="B60" s="645"/>
      <c r="C60" s="631"/>
      <c r="D60" s="249" t="s">
        <v>263</v>
      </c>
      <c r="E60" s="639">
        <f t="array" ref="E60">INDEX('Val-Départ'!B$1:B$23,MIN(IF(COUNTIF('Liv-Four-client'!E$11:E59,'Val-Départ'!B$13:B$23)=0,ROW($13:$23))))</f>
        <v>0</v>
      </c>
      <c r="F60" s="640" t="str">
        <f>IFERROR(VLOOKUP($E$60,'Val-Départ'!$B$13:$D$23,2,FALSE),"")</f>
        <v/>
      </c>
      <c r="G60" s="249" t="s">
        <v>262</v>
      </c>
      <c r="H60" s="658"/>
      <c r="I60" s="629"/>
      <c r="J60" s="636"/>
      <c r="K60" s="406"/>
      <c r="L60" s="249" t="s">
        <v>263</v>
      </c>
      <c r="M60" s="639">
        <f t="array" ref="M60">INDEX('Val-Départ'!B$1:B$58,MIN(IF(COUNTIF('Liv-Four-client'!M$11:M59,'Val-Départ'!B$35:B$45)=0,ROW($35:$45))))</f>
        <v>0</v>
      </c>
      <c r="N60" s="640" t="str">
        <f>IFERROR(VLOOKUP($M$60,'Val-Départ'!$B$35:$D$45,2,FALSE),"")</f>
        <v/>
      </c>
      <c r="O60" s="249" t="s">
        <v>262</v>
      </c>
      <c r="P60" s="231"/>
      <c r="Q60" s="4"/>
      <c r="R60" s="655"/>
      <c r="S60" s="628"/>
      <c r="T60" s="184"/>
      <c r="U60" s="628"/>
      <c r="V60" s="628"/>
    </row>
    <row r="61" spans="1:22">
      <c r="A61" s="4"/>
      <c r="B61" s="645"/>
      <c r="C61" s="4"/>
      <c r="D61" s="673" t="s">
        <v>278</v>
      </c>
      <c r="E61" s="647" t="str">
        <f>IFERROR(VLOOKUP($E$60,'Val-Départ'!$B$12:$D$19,3,FALSE),"")</f>
        <v/>
      </c>
      <c r="F61" s="674" t="s">
        <v>282</v>
      </c>
      <c r="G61" s="678"/>
      <c r="H61" s="655"/>
      <c r="I61" s="629"/>
      <c r="J61" s="636"/>
      <c r="K61" s="406"/>
      <c r="L61" s="678"/>
      <c r="M61" s="679" t="s">
        <v>279</v>
      </c>
      <c r="N61" s="647" t="str">
        <f>IFERROR(VLOOKUP($M$60,'Val-Départ'!$B$38:$D$45,3,FALSE),"")</f>
        <v/>
      </c>
      <c r="O61" s="673" t="s">
        <v>278</v>
      </c>
      <c r="P61" s="231"/>
      <c r="Q61" s="4"/>
      <c r="R61" s="655"/>
      <c r="S61" s="628"/>
      <c r="T61" s="628"/>
      <c r="U61" s="628"/>
      <c r="V61" s="628"/>
    </row>
    <row r="62" spans="1:22">
      <c r="A62" s="4"/>
      <c r="B62" s="645"/>
      <c r="C62" s="231">
        <v>13</v>
      </c>
      <c r="D62" s="134"/>
      <c r="E62" s="656">
        <f>IF(ISNA(VLOOKUP(E$60,'Val-Départ'!B13:W13,18,FALSE)),,VLOOKUP(E$60,'Val-Départ'!B13:W13,18,FALSE))</f>
        <v>0</v>
      </c>
      <c r="F62" s="657">
        <f>IF(ISNA(VLOOKUP($E$60,'Val-Départ'!Y13:AD13,6,FALSE)),,VLOOKUP($E$60,'Val-Départ'!Y13:AD13,6,FALSE))</f>
        <v>0</v>
      </c>
      <c r="G62" s="4"/>
      <c r="H62" s="655"/>
      <c r="I62" s="629"/>
      <c r="J62" s="636"/>
      <c r="K62" s="406"/>
      <c r="L62" s="4"/>
      <c r="M62" s="660">
        <f>IF(ISNA(VLOOKUP($M$60,'Val-Départ'!B35:AK35,35,FALSE)),,VLOOKUP($M$60,'Val-Départ'!B35:AK35,35,FALSE))</f>
        <v>0</v>
      </c>
      <c r="N62" s="681">
        <f>IF(ISNA(VLOOKUP($M$60,'Val-Départ'!AF35:AK35,6,FALSE)),,VLOOKUP($M$60,'Val-Départ'!AF35:AK35,6,FALSE))</f>
        <v>0</v>
      </c>
      <c r="O62" s="134"/>
      <c r="P62" s="231">
        <v>35</v>
      </c>
      <c r="Q62" s="4"/>
      <c r="R62" s="662"/>
      <c r="S62" s="628"/>
      <c r="T62" s="628"/>
      <c r="U62" s="628"/>
      <c r="V62" s="628"/>
    </row>
    <row r="63" spans="1:22">
      <c r="A63" s="4"/>
      <c r="B63" s="645"/>
      <c r="C63" s="231">
        <v>14</v>
      </c>
      <c r="D63" s="134"/>
      <c r="E63" s="656">
        <f>IF(ISNA(VLOOKUP(E$60,'Val-Départ'!B14:W14,18,FALSE)),,VLOOKUP(E$60,'Val-Départ'!B14:W14,18,FALSE))</f>
        <v>0</v>
      </c>
      <c r="F63" s="657">
        <f>IF(ISNA(VLOOKUP($E$60,'Val-Départ'!Y14:AD14,6,FALSE)),,VLOOKUP($E$60,'Val-Départ'!Y14:AD14,6,FALSE))</f>
        <v>0</v>
      </c>
      <c r="G63" s="4"/>
      <c r="H63" s="655"/>
      <c r="I63" s="629"/>
      <c r="J63" s="636"/>
      <c r="K63" s="406"/>
      <c r="L63" s="4"/>
      <c r="M63" s="660">
        <f>IF(ISNA(VLOOKUP($M$60,'Val-Départ'!B36:AK36,35,FALSE)),,VLOOKUP($M$60,'Val-Départ'!B36:AK36,35,FALSE))</f>
        <v>0</v>
      </c>
      <c r="N63" s="681">
        <f>IF(ISNA(VLOOKUP($M$60,'Val-Départ'!AF36:AK36,6,FALSE)),,VLOOKUP($M$60,'Val-Départ'!AF36:AK36,6,FALSE))</f>
        <v>0</v>
      </c>
      <c r="O63" s="134"/>
      <c r="P63" s="231">
        <v>36</v>
      </c>
      <c r="Q63" s="4"/>
      <c r="R63" s="655"/>
      <c r="S63" s="628"/>
      <c r="T63" s="628"/>
      <c r="U63" s="628"/>
      <c r="V63" s="628"/>
    </row>
    <row r="64" spans="1:22">
      <c r="A64" s="4"/>
      <c r="B64" s="645"/>
      <c r="C64" s="231">
        <v>15</v>
      </c>
      <c r="D64" s="134"/>
      <c r="E64" s="656">
        <f>IF(ISNA(VLOOKUP(E$60,'Val-Départ'!B15:W15,18,FALSE)),,VLOOKUP(E$60,'Val-Départ'!B15:W15,18,FALSE))</f>
        <v>0</v>
      </c>
      <c r="F64" s="657">
        <f>IF(ISNA(VLOOKUP($E$60,'Val-Départ'!Y15:AD15,6,FALSE)),,VLOOKUP($E$60,'Val-Départ'!Y15:AD15,6,FALSE))</f>
        <v>0</v>
      </c>
      <c r="G64" s="4"/>
      <c r="H64" s="655"/>
      <c r="I64" s="629"/>
      <c r="J64" s="636"/>
      <c r="K64" s="406"/>
      <c r="L64" s="4"/>
      <c r="M64" s="660">
        <f>IF(ISNA(VLOOKUP($M$60,'Val-Départ'!B37:AK37,35,FALSE)),,VLOOKUP($M$60,'Val-Départ'!B37:AK37,35,FALSE))</f>
        <v>0</v>
      </c>
      <c r="N64" s="681">
        <f>IF(ISNA(VLOOKUP($M$60,'Val-Départ'!AF37:AK37,6,FALSE)),,VLOOKUP($M$60,'Val-Départ'!AF37:AK37,6,FALSE))</f>
        <v>0</v>
      </c>
      <c r="O64" s="134"/>
      <c r="P64" s="231">
        <v>37</v>
      </c>
      <c r="Q64" s="4"/>
      <c r="R64" s="655"/>
      <c r="S64" s="628"/>
      <c r="T64" s="628"/>
      <c r="U64" s="628"/>
      <c r="V64" s="628"/>
    </row>
    <row r="65" spans="1:22">
      <c r="A65" s="4"/>
      <c r="B65" s="645"/>
      <c r="C65" s="231">
        <v>16</v>
      </c>
      <c r="D65" s="134"/>
      <c r="E65" s="656">
        <f>IF(ISNA(VLOOKUP(E$60,'Val-Départ'!B16:W16,18,FALSE)),,VLOOKUP(E$60,'Val-Départ'!B16:W16,18,FALSE))</f>
        <v>0</v>
      </c>
      <c r="F65" s="657">
        <f>IF(ISNA(VLOOKUP($E$60,'Val-Départ'!Y16:AD16,6,FALSE)),,VLOOKUP($E$60,'Val-Départ'!Y16:AD16,6,FALSE))</f>
        <v>0</v>
      </c>
      <c r="G65" s="4"/>
      <c r="H65" s="655"/>
      <c r="I65" s="629"/>
      <c r="J65" s="636"/>
      <c r="K65" s="406"/>
      <c r="L65" s="4"/>
      <c r="M65" s="660">
        <f>IF(ISNA(VLOOKUP($M$60,'Val-Départ'!B38:AK38,35,FALSE)),,VLOOKUP($M$60,'Val-Départ'!B38:AK38,35,FALSE))</f>
        <v>0</v>
      </c>
      <c r="N65" s="681">
        <f>IF(ISNA(VLOOKUP($M$60,'Val-Départ'!AF38:AK38,6,FALSE)),,VLOOKUP($M$60,'Val-Départ'!AF38:AK38,6,FALSE))</f>
        <v>0</v>
      </c>
      <c r="O65" s="134"/>
      <c r="P65" s="231">
        <v>38</v>
      </c>
      <c r="Q65" s="4"/>
      <c r="R65" s="655"/>
      <c r="S65" s="628"/>
      <c r="T65" s="628"/>
      <c r="U65" s="628"/>
      <c r="V65" s="628"/>
    </row>
    <row r="66" spans="1:22">
      <c r="A66" s="4"/>
      <c r="B66" s="645"/>
      <c r="C66" s="231">
        <v>17</v>
      </c>
      <c r="D66" s="134"/>
      <c r="E66" s="656">
        <f>IF(ISNA(VLOOKUP(E$60,'Val-Départ'!B17:W17,18,FALSE)),,VLOOKUP(E$60,'Val-Départ'!B17:W17,18,FALSE))</f>
        <v>0</v>
      </c>
      <c r="F66" s="657">
        <f>IF(ISNA(VLOOKUP($E$60,'Val-Départ'!Y17:AD17,6,FALSE)),,VLOOKUP($E$60,'Val-Départ'!Y17:AD17,6,FALSE))</f>
        <v>0</v>
      </c>
      <c r="G66" s="4"/>
      <c r="H66" s="655"/>
      <c r="I66" s="629"/>
      <c r="J66" s="636"/>
      <c r="K66" s="406"/>
      <c r="L66" s="4"/>
      <c r="M66" s="660">
        <f>IF(ISNA(VLOOKUP($M$60,'Val-Départ'!B39:AK39,35,FALSE)),,VLOOKUP($M$60,'Val-Départ'!B39:AK39,35,FALSE))</f>
        <v>0</v>
      </c>
      <c r="N66" s="681">
        <f>IF(ISNA(VLOOKUP($M$60,'Val-Départ'!AF39:AK39,6,FALSE)),,VLOOKUP($M$60,'Val-Départ'!AF39:AK39,6,FALSE))</f>
        <v>0</v>
      </c>
      <c r="O66" s="134"/>
      <c r="P66" s="231">
        <v>39</v>
      </c>
      <c r="Q66" s="4"/>
      <c r="R66" s="655"/>
      <c r="S66" s="628"/>
      <c r="T66" s="628"/>
      <c r="U66" s="628"/>
      <c r="V66" s="628"/>
    </row>
    <row r="67" spans="1:22">
      <c r="A67" s="4"/>
      <c r="B67" s="645"/>
      <c r="C67" s="231">
        <v>18</v>
      </c>
      <c r="D67" s="134"/>
      <c r="E67" s="656">
        <f>IF(ISNA(VLOOKUP(E$60,'Val-Départ'!B18:W18,18,FALSE)),,VLOOKUP(E$60,'Val-Départ'!B18:W18,18,FALSE))</f>
        <v>0</v>
      </c>
      <c r="F67" s="657">
        <f>IF(ISNA(VLOOKUP($E$60,'Val-Départ'!Y18:AD18,6,FALSE)),,VLOOKUP($E$60,'Val-Départ'!Y18:AD18,6,FALSE))</f>
        <v>0</v>
      </c>
      <c r="G67" s="4"/>
      <c r="H67" s="655"/>
      <c r="I67" s="629"/>
      <c r="J67" s="636"/>
      <c r="K67" s="406"/>
      <c r="L67" s="4"/>
      <c r="M67" s="660">
        <f>IF(ISNA(VLOOKUP($M$60,'Val-Départ'!B40:AK40,35,FALSE)),,VLOOKUP($M$60,'Val-Départ'!B40:AK40,35,FALSE))</f>
        <v>0</v>
      </c>
      <c r="N67" s="681">
        <f>IF(ISNA(VLOOKUP($M$60,'Val-Départ'!AF40:AK40,6,FALSE)),,VLOOKUP($M$60,'Val-Départ'!AF40:AK40,6,FALSE))</f>
        <v>0</v>
      </c>
      <c r="O67" s="134"/>
      <c r="P67" s="231">
        <v>40</v>
      </c>
      <c r="Q67" s="4"/>
      <c r="R67" s="655"/>
      <c r="S67" s="628"/>
      <c r="T67" s="628"/>
      <c r="U67" s="628"/>
      <c r="V67" s="628"/>
    </row>
    <row r="68" spans="1:22" ht="18.75">
      <c r="A68" s="4"/>
      <c r="B68" s="645"/>
      <c r="C68" s="231">
        <v>19</v>
      </c>
      <c r="D68" s="4"/>
      <c r="E68" s="656">
        <f>IF(ISNA(VLOOKUP(E$60,'Val-Départ'!B19:W19,18,FALSE)),,VLOOKUP(E$60,'Val-Départ'!B19:W19,18,FALSE))</f>
        <v>0</v>
      </c>
      <c r="F68" s="657">
        <f>IF(ISNA(VLOOKUP($E$60,'Val-Départ'!Y19:AD19,6,FALSE)),,VLOOKUP($E$60,'Val-Départ'!Y19:AD19,6,FALSE))</f>
        <v>0</v>
      </c>
      <c r="G68" s="4"/>
      <c r="H68" s="694"/>
      <c r="I68" s="695"/>
      <c r="J68" s="636"/>
      <c r="K68" s="406"/>
      <c r="L68" s="4"/>
      <c r="M68" s="660">
        <f>IF(ISNA(VLOOKUP($M$60,'Val-Départ'!B41:AK41,35,FALSE)),,VLOOKUP($M$60,'Val-Départ'!B41:AK41,35,FALSE))</f>
        <v>0</v>
      </c>
      <c r="N68" s="681">
        <f>IF(ISNA(VLOOKUP($M$60,'Val-Départ'!AF41:AK41,6,FALSE)),,VLOOKUP($M$60,'Val-Départ'!AF41:AK41,6,FALSE))</f>
        <v>0</v>
      </c>
      <c r="O68" s="4"/>
      <c r="P68" s="231">
        <v>41</v>
      </c>
      <c r="Q68" s="4"/>
      <c r="R68" s="655"/>
      <c r="S68" s="628"/>
      <c r="T68" s="628"/>
      <c r="U68" s="628"/>
      <c r="V68" s="628"/>
    </row>
    <row r="69" spans="1:22" ht="18.75">
      <c r="A69" s="4"/>
      <c r="B69" s="645"/>
      <c r="C69" s="231">
        <v>20</v>
      </c>
      <c r="D69" s="4"/>
      <c r="E69" s="656">
        <f>IF(ISNA(VLOOKUP(E$60,'Val-Départ'!B20:W20,18,FALSE)),,VLOOKUP(E$60,'Val-Départ'!B20:W20,18,FALSE))</f>
        <v>0</v>
      </c>
      <c r="F69" s="657">
        <f>IF(ISNA(VLOOKUP($E$60,'Val-Départ'!Y20:AD20,6,FALSE)),,VLOOKUP($E$60,'Val-Départ'!Y20:AD20,6,FALSE))</f>
        <v>0</v>
      </c>
      <c r="G69" s="4"/>
      <c r="H69" s="694"/>
      <c r="I69" s="695"/>
      <c r="J69" s="636"/>
      <c r="K69" s="406"/>
      <c r="L69" s="4"/>
      <c r="M69" s="660">
        <f>IF(ISNA(VLOOKUP($M$60,'Val-Départ'!B42:AK42,35,FALSE)),,VLOOKUP($M$60,'Val-Départ'!B42:AK42,35,FALSE))</f>
        <v>0</v>
      </c>
      <c r="N69" s="681">
        <f>IF(ISNA(VLOOKUP($M$60,'Val-Départ'!AF42:AK42,6,FALSE)),,VLOOKUP($M$60,'Val-Départ'!AF42:AK42,6,FALSE))</f>
        <v>0</v>
      </c>
      <c r="O69" s="4"/>
      <c r="P69" s="231">
        <v>42</v>
      </c>
      <c r="Q69" s="4"/>
      <c r="R69" s="655"/>
      <c r="S69" s="628"/>
      <c r="T69" s="628"/>
      <c r="U69" s="628"/>
      <c r="V69" s="628"/>
    </row>
    <row r="70" spans="1:22" ht="18.75">
      <c r="A70" s="4"/>
      <c r="B70" s="645"/>
      <c r="C70" s="231">
        <v>21</v>
      </c>
      <c r="D70" s="4"/>
      <c r="E70" s="656">
        <f>IF(ISNA(VLOOKUP(E$60,'Val-Départ'!B21:W21,18,FALSE)),,VLOOKUP(E$60,'Val-Départ'!B21:W21,18,FALSE))</f>
        <v>0</v>
      </c>
      <c r="F70" s="657">
        <f>IF(ISNA(VLOOKUP($E$60,'Val-Départ'!Y21:AD21,6,FALSE)),,VLOOKUP($E$60,'Val-Départ'!Y21:AD21,6,FALSE))</f>
        <v>0</v>
      </c>
      <c r="G70" s="4"/>
      <c r="H70" s="694"/>
      <c r="I70" s="695"/>
      <c r="J70" s="636"/>
      <c r="K70" s="406"/>
      <c r="L70" s="4"/>
      <c r="M70" s="660">
        <f>IF(ISNA(VLOOKUP($M$60,'Val-Départ'!B43:AK43,35,FALSE)),,VLOOKUP($M$60,'Val-Départ'!B43:AK43,35,FALSE))</f>
        <v>0</v>
      </c>
      <c r="N70" s="681">
        <f>IF(ISNA(VLOOKUP($M$60,'Val-Départ'!AF43:AK43,6,FALSE)),,VLOOKUP($M$60,'Val-Départ'!AF43:AK43,6,FALSE))</f>
        <v>0</v>
      </c>
      <c r="O70" s="4"/>
      <c r="P70" s="231">
        <v>43</v>
      </c>
      <c r="Q70" s="4"/>
      <c r="R70" s="655"/>
      <c r="S70" s="628"/>
      <c r="T70" s="628"/>
      <c r="U70" s="628"/>
      <c r="V70" s="628"/>
    </row>
    <row r="71" spans="1:22" ht="19.5" thickBot="1">
      <c r="A71" s="4"/>
      <c r="B71" s="645"/>
      <c r="C71" s="231">
        <v>22</v>
      </c>
      <c r="D71" s="4"/>
      <c r="E71" s="656">
        <f>IF(ISNA(VLOOKUP(E$60,'Val-Départ'!B22:W22,18,FALSE)),,VLOOKUP(E$60,'Val-Départ'!B22:W22,18,FALSE))</f>
        <v>0</v>
      </c>
      <c r="F71" s="657">
        <f>IF(ISNA(VLOOKUP($E$60,'Val-Départ'!Y22:AD22,6,FALSE)),,VLOOKUP($E$60,'Val-Départ'!Y22:AD22,6,FALSE))</f>
        <v>0</v>
      </c>
      <c r="G71" s="4"/>
      <c r="H71" s="696"/>
      <c r="I71" s="697"/>
      <c r="J71" s="698"/>
      <c r="K71" s="699"/>
      <c r="L71" s="4"/>
      <c r="M71" s="660">
        <f>IF(ISNA(VLOOKUP($M$60,'Val-Départ'!B44:AK44,35,FALSE)),,VLOOKUP($M$60,'Val-Départ'!B44:AK44,35,FALSE))</f>
        <v>0</v>
      </c>
      <c r="N71" s="681">
        <f>IF(ISNA(VLOOKUP($M$60,'Val-Départ'!AF44:AK44,6,FALSE)),,VLOOKUP($M$60,'Val-Départ'!AF44:AK44,6,FALSE))</f>
        <v>0</v>
      </c>
      <c r="O71" s="4"/>
      <c r="P71" s="231">
        <v>44</v>
      </c>
      <c r="Q71" s="700"/>
      <c r="R71" s="655"/>
      <c r="S71" s="628"/>
      <c r="T71" s="628"/>
      <c r="U71" s="628"/>
      <c r="V71" s="628"/>
    </row>
    <row r="72" spans="1:22">
      <c r="A72" s="4"/>
      <c r="B72" s="645"/>
      <c r="C72" s="231">
        <v>23</v>
      </c>
      <c r="D72" s="216"/>
      <c r="E72" s="311">
        <f>SUM(E61:E71)</f>
        <v>0</v>
      </c>
      <c r="F72" s="663">
        <f>SUM(F62:F71)</f>
        <v>0</v>
      </c>
      <c r="G72" s="216"/>
      <c r="H72" s="696"/>
      <c r="I72" s="697"/>
      <c r="J72" s="701"/>
      <c r="K72" s="702"/>
      <c r="L72" s="216"/>
      <c r="M72" s="311">
        <f>SUM(M62:M71)</f>
        <v>0</v>
      </c>
      <c r="N72" s="311">
        <f>SUM(N62:N71)</f>
        <v>0</v>
      </c>
      <c r="O72" s="216"/>
      <c r="P72" s="231">
        <v>45</v>
      </c>
      <c r="Q72" s="4"/>
      <c r="R72" s="655"/>
      <c r="S72" s="628"/>
      <c r="T72" s="628"/>
      <c r="U72" s="628"/>
      <c r="V72" s="628"/>
    </row>
    <row r="73" spans="1:22" ht="19.5" thickBot="1">
      <c r="A73" s="4"/>
      <c r="B73" s="645"/>
      <c r="C73" s="4"/>
      <c r="D73" s="4"/>
      <c r="E73" s="704">
        <f>E72-F72</f>
        <v>0</v>
      </c>
      <c r="F73" s="1682" t="s">
        <v>452</v>
      </c>
      <c r="G73" s="1682"/>
      <c r="H73" s="1683"/>
      <c r="I73" s="697"/>
      <c r="J73" s="636"/>
      <c r="K73" s="406"/>
      <c r="L73" s="4"/>
      <c r="M73" s="4"/>
      <c r="N73" s="705">
        <f>(N72-M72)</f>
        <v>0</v>
      </c>
      <c r="O73" s="706" t="s">
        <v>260</v>
      </c>
      <c r="P73" s="317"/>
      <c r="Q73" s="177"/>
      <c r="R73" s="655"/>
      <c r="S73" s="628"/>
      <c r="T73" s="628"/>
      <c r="U73" s="628"/>
      <c r="V73" s="628"/>
    </row>
    <row r="74" spans="1:22" ht="19.5" thickBot="1">
      <c r="A74" s="4"/>
      <c r="B74" s="667"/>
      <c r="C74" s="668"/>
      <c r="D74" s="707"/>
      <c r="E74" s="708"/>
      <c r="F74" s="708"/>
      <c r="G74" s="709"/>
      <c r="H74" s="710"/>
      <c r="I74" s="697"/>
      <c r="J74" s="636"/>
      <c r="K74" s="671"/>
      <c r="L74" s="668"/>
      <c r="M74" s="668"/>
      <c r="N74" s="668"/>
      <c r="O74" s="668"/>
      <c r="P74" s="687"/>
      <c r="Q74" s="1703" t="s">
        <v>453</v>
      </c>
      <c r="R74" s="1704"/>
      <c r="S74" s="628"/>
      <c r="T74" s="628"/>
      <c r="U74" s="628"/>
      <c r="V74" s="628"/>
    </row>
    <row r="75" spans="1:22" ht="15.75" thickTop="1">
      <c r="A75" s="21"/>
      <c r="B75" s="317"/>
      <c r="C75" s="21"/>
      <c r="D75" s="21"/>
      <c r="E75" s="633"/>
      <c r="F75" s="633"/>
      <c r="G75" s="21"/>
      <c r="H75" s="21"/>
      <c r="I75" s="4"/>
      <c r="J75" s="4"/>
      <c r="K75" s="21"/>
      <c r="L75" s="21"/>
      <c r="M75" s="633"/>
      <c r="N75" s="633"/>
      <c r="O75" s="21"/>
      <c r="P75" s="317"/>
      <c r="Q75" s="309"/>
      <c r="R75" s="628"/>
      <c r="S75" s="628"/>
      <c r="T75" s="628"/>
      <c r="U75" s="628"/>
      <c r="V75" s="628"/>
    </row>
    <row r="76" spans="1:22" ht="15.75" thickBot="1">
      <c r="A76" s="21"/>
      <c r="B76" s="317"/>
      <c r="C76" s="661"/>
      <c r="D76" s="711"/>
      <c r="E76" s="633"/>
      <c r="F76" s="661"/>
      <c r="G76" s="21"/>
      <c r="H76" s="21"/>
      <c r="I76" s="4"/>
      <c r="J76" s="4"/>
      <c r="K76" s="21"/>
      <c r="L76" s="21"/>
      <c r="M76" s="661"/>
      <c r="N76" s="633"/>
      <c r="O76" s="711"/>
      <c r="P76" s="317"/>
      <c r="Q76" s="309"/>
      <c r="R76" s="628"/>
      <c r="S76" s="628"/>
      <c r="T76" s="628"/>
      <c r="U76" s="628"/>
      <c r="V76" s="628"/>
    </row>
    <row r="77" spans="1:22" ht="19.5" thickTop="1">
      <c r="A77" s="21"/>
      <c r="B77" s="317"/>
      <c r="C77" s="631"/>
      <c r="D77" s="1705" t="s">
        <v>454</v>
      </c>
      <c r="E77" s="1706"/>
      <c r="F77" s="1678" t="s">
        <v>446</v>
      </c>
      <c r="G77" s="1679"/>
      <c r="H77" s="631"/>
      <c r="I77" s="4"/>
      <c r="J77" s="4"/>
      <c r="K77" s="21"/>
      <c r="L77" s="1680" t="s">
        <v>446</v>
      </c>
      <c r="M77" s="1680"/>
      <c r="N77" s="1681" t="s">
        <v>454</v>
      </c>
      <c r="O77" s="1681"/>
      <c r="P77" s="317"/>
      <c r="Q77" s="21"/>
      <c r="R77" s="628"/>
      <c r="S77" s="628"/>
      <c r="T77" s="628"/>
      <c r="U77" s="628"/>
      <c r="V77" s="628"/>
    </row>
    <row r="78" spans="1:22" ht="19.5" thickBot="1">
      <c r="A78" s="21"/>
      <c r="B78" s="317"/>
      <c r="C78" s="661"/>
      <c r="D78" s="1687" t="s">
        <v>269</v>
      </c>
      <c r="E78" s="1688"/>
      <c r="F78" s="1689" t="s">
        <v>6</v>
      </c>
      <c r="G78" s="1690"/>
      <c r="H78" s="631"/>
      <c r="I78" s="4"/>
      <c r="J78" s="4"/>
      <c r="K78" s="21"/>
      <c r="L78" s="1691" t="s">
        <v>69</v>
      </c>
      <c r="M78" s="1691"/>
      <c r="N78" s="1692" t="s">
        <v>69</v>
      </c>
      <c r="O78" s="1692"/>
      <c r="P78" s="317"/>
      <c r="Q78" s="21"/>
      <c r="R78" s="628"/>
      <c r="S78" s="628"/>
      <c r="T78" s="628"/>
      <c r="U78" s="628"/>
      <c r="V78" s="628"/>
    </row>
    <row r="79" spans="1:22" s="628" customFormat="1" ht="20.25" thickTop="1" thickBot="1">
      <c r="A79" s="21"/>
      <c r="B79" s="317"/>
      <c r="C79" s="661"/>
      <c r="D79" s="627"/>
      <c r="E79" s="725" t="s">
        <v>456</v>
      </c>
      <c r="F79" s="720"/>
      <c r="G79" s="721"/>
      <c r="H79" s="631"/>
      <c r="I79" s="4"/>
      <c r="J79" s="4"/>
      <c r="K79" s="21"/>
      <c r="L79" s="722"/>
      <c r="M79" s="725" t="s">
        <v>456</v>
      </c>
      <c r="N79" s="723"/>
      <c r="O79" s="724"/>
      <c r="P79" s="317"/>
      <c r="Q79" s="21"/>
    </row>
    <row r="80" spans="1:22" ht="15.75" thickBot="1">
      <c r="A80" s="21"/>
      <c r="B80" s="317"/>
      <c r="C80" s="631"/>
      <c r="D80" s="249" t="s">
        <v>263</v>
      </c>
      <c r="E80" s="639">
        <f t="array" ref="E80">INDEX('Val-Départ'!B$1:B$23,MIN(IF(COUNTIF('Liv-Four-client'!E$11:E79,'Val-Départ'!B$13:B$23)=0,ROW($13:$23))))</f>
        <v>0</v>
      </c>
      <c r="F80" s="640" t="str">
        <f>IFERROR(VLOOKUP($E$80,'Val-Départ'!$B$13:$D$23,2,FALSE),"")</f>
        <v/>
      </c>
      <c r="G80" s="249" t="s">
        <v>262</v>
      </c>
      <c r="H80" s="658"/>
      <c r="I80" s="4"/>
      <c r="J80" s="4"/>
      <c r="K80" s="21"/>
      <c r="L80" s="249" t="s">
        <v>263</v>
      </c>
      <c r="M80" s="639">
        <f t="array" ref="M80">INDEX('Val-Départ'!B$1:B$44,MIN(IF(COUNTIF('Liv-Four-client'!M$11:M79,'Val-Départ'!B$39:B$45)=0,ROW($39:$45))))</f>
        <v>0</v>
      </c>
      <c r="N80" s="640" t="str">
        <f>IFERROR(VLOOKUP($M$80,'Val-Départ'!$B$39:$D$45,2,FALSE),"")</f>
        <v/>
      </c>
      <c r="O80" s="249" t="s">
        <v>262</v>
      </c>
      <c r="P80" s="231"/>
      <c r="Q80" s="21"/>
      <c r="R80" s="628"/>
      <c r="S80" s="628"/>
      <c r="T80" s="628"/>
      <c r="U80" s="628"/>
      <c r="V80" s="628"/>
    </row>
    <row r="81" spans="1:22">
      <c r="A81" s="21"/>
      <c r="B81" s="317"/>
      <c r="C81" s="4"/>
      <c r="D81" s="673" t="s">
        <v>278</v>
      </c>
      <c r="E81" s="647" t="str">
        <f>IFERROR(VLOOKUP($E$80,'Val-Départ'!$B$12:$D$19,3,FALSE),"")</f>
        <v/>
      </c>
      <c r="F81" s="674" t="s">
        <v>282</v>
      </c>
      <c r="G81" s="678"/>
      <c r="H81" s="655"/>
      <c r="I81" s="4"/>
      <c r="J81" s="4"/>
      <c r="K81" s="21"/>
      <c r="L81" s="678"/>
      <c r="M81" s="679" t="s">
        <v>279</v>
      </c>
      <c r="N81" s="647" t="str">
        <f>IFERROR(VLOOKUP($M$80,'Val-Départ'!$B$39:$D$45,3,FALSE),"")</f>
        <v/>
      </c>
      <c r="O81" s="673" t="s">
        <v>278</v>
      </c>
      <c r="P81" s="231"/>
      <c r="Q81" s="21"/>
      <c r="R81" s="628"/>
      <c r="S81" s="628"/>
      <c r="T81" s="628"/>
      <c r="U81" s="628"/>
      <c r="V81" s="628"/>
    </row>
    <row r="82" spans="1:22">
      <c r="A82" s="21"/>
      <c r="B82" s="317"/>
      <c r="C82" s="231">
        <v>13</v>
      </c>
      <c r="D82" s="134"/>
      <c r="E82" s="656">
        <f>IF(ISNA(VLOOKUP(E$80,'Val-Départ'!B13:W13,18,FALSE)),,VLOOKUP($E$80,'Val-Départ'!B13:W13,18,FALSE))</f>
        <v>0</v>
      </c>
      <c r="F82" s="657">
        <f>IF(ISNA(VLOOKUP($E$80,'Val-Départ'!Y13:AD13,6,FALSE)),,VLOOKUP($E$80,'Val-Départ'!Y13:AD13,6,FALSE))</f>
        <v>0</v>
      </c>
      <c r="G82" s="4"/>
      <c r="H82" s="655"/>
      <c r="I82" s="4"/>
      <c r="J82" s="4"/>
      <c r="K82" s="21"/>
      <c r="L82" s="4"/>
      <c r="M82" s="660">
        <f>IF(ISNA(VLOOKUP($M$80,'Val-Départ'!B35:AC35,35,FALSE)),,VLOOKUP($M$80,'Val-Départ'!B35:AC35,35,FALSE))</f>
        <v>0</v>
      </c>
      <c r="N82" s="681">
        <f>IF(ISNA(VLOOKUP($M$80,'Val-Départ'!AF35:AK35,6,FALSE)),,VLOOKUP($M$80,'Val-Départ'!AF35:AK35,6,FALSE))</f>
        <v>0</v>
      </c>
      <c r="O82" s="134"/>
      <c r="P82" s="231">
        <v>35</v>
      </c>
      <c r="Q82" s="21"/>
      <c r="R82" s="628"/>
      <c r="S82" s="628"/>
      <c r="T82" s="628"/>
      <c r="U82" s="628"/>
      <c r="V82" s="628"/>
    </row>
    <row r="83" spans="1:22">
      <c r="A83" s="21"/>
      <c r="B83" s="317"/>
      <c r="C83" s="231">
        <v>14</v>
      </c>
      <c r="D83" s="134"/>
      <c r="E83" s="656">
        <f>IF(ISNA(VLOOKUP(E$80,'Val-Départ'!B14:W14,18,FALSE)),,VLOOKUP($E$80,'Val-Départ'!B14:W14,18,FALSE))</f>
        <v>0</v>
      </c>
      <c r="F83" s="657">
        <f>IF(ISNA(VLOOKUP($E$80,'Val-Départ'!Y14:AD14,6,FALSE)),,VLOOKUP($E$80,'Val-Départ'!Y14:AD14,6,FALSE))</f>
        <v>0</v>
      </c>
      <c r="G83" s="4"/>
      <c r="H83" s="655"/>
      <c r="I83" s="628"/>
      <c r="J83" s="628"/>
      <c r="K83" s="21"/>
      <c r="L83" s="4"/>
      <c r="M83" s="660">
        <f>IF(ISNA(VLOOKUP($M$80,'Val-Départ'!B36:AC36,35,FALSE)),,VLOOKUP($M$80,'Val-Départ'!B36:AC36,35,FALSE))</f>
        <v>0</v>
      </c>
      <c r="N83" s="681">
        <f>IF(ISNA(VLOOKUP($M$80,'Val-Départ'!AF36:AK36,6,FALSE)),,VLOOKUP($M$80,'Val-Départ'!AF36:AK36,6,FALSE))</f>
        <v>0</v>
      </c>
      <c r="O83" s="134"/>
      <c r="P83" s="231">
        <v>36</v>
      </c>
      <c r="Q83" s="21"/>
      <c r="R83" s="628"/>
      <c r="S83" s="628"/>
      <c r="T83" s="628"/>
      <c r="U83" s="628"/>
      <c r="V83" s="628"/>
    </row>
    <row r="84" spans="1:22">
      <c r="A84" s="21"/>
      <c r="B84" s="317"/>
      <c r="C84" s="231">
        <v>15</v>
      </c>
      <c r="D84" s="134"/>
      <c r="E84" s="656">
        <f>IF(ISNA(VLOOKUP(E$80,'Val-Départ'!B15:W15,18,FALSE)),,VLOOKUP($E$80,'Val-Départ'!B15:W15,18,FALSE))</f>
        <v>0</v>
      </c>
      <c r="F84" s="657">
        <f>IF(ISNA(VLOOKUP($E$80,'Val-Départ'!Y15:AD15,6,FALSE)),,VLOOKUP($E$80,'Val-Départ'!Y15:AD15,6,FALSE))</f>
        <v>0</v>
      </c>
      <c r="G84" s="4"/>
      <c r="H84" s="655"/>
      <c r="I84" s="628"/>
      <c r="J84" s="628"/>
      <c r="K84" s="21"/>
      <c r="L84" s="4"/>
      <c r="M84" s="660">
        <f>IF(ISNA(VLOOKUP($M$80,'Val-Départ'!B37:AC37,35,FALSE)),,VLOOKUP($M$80,'Val-Départ'!B37:AC37,35,FALSE))</f>
        <v>0</v>
      </c>
      <c r="N84" s="681">
        <f>IF(ISNA(VLOOKUP($M$80,'Val-Départ'!AF37:AK37,6,FALSE)),,VLOOKUP($M$80,'Val-Départ'!AF37:AK37,6,FALSE))</f>
        <v>0</v>
      </c>
      <c r="O84" s="134"/>
      <c r="P84" s="231">
        <v>37</v>
      </c>
      <c r="Q84" s="21"/>
      <c r="R84" s="628"/>
      <c r="S84" s="628"/>
      <c r="T84" s="628"/>
      <c r="U84" s="628"/>
      <c r="V84" s="628"/>
    </row>
    <row r="85" spans="1:22">
      <c r="A85" s="21"/>
      <c r="B85" s="317"/>
      <c r="C85" s="231">
        <v>16</v>
      </c>
      <c r="D85" s="134"/>
      <c r="E85" s="656">
        <f>IF(ISNA(VLOOKUP(E$80,'Val-Départ'!B16:W16,18,FALSE)),,VLOOKUP($E$80,'Val-Départ'!B16:W16,18,FALSE))</f>
        <v>0</v>
      </c>
      <c r="F85" s="657">
        <f>IF(ISNA(VLOOKUP($E$80,'Val-Départ'!Y16:AD16,6,FALSE)),,VLOOKUP($E$80,'Val-Départ'!Y16:AD16,6,FALSE))</f>
        <v>0</v>
      </c>
      <c r="G85" s="4"/>
      <c r="H85" s="655"/>
      <c r="I85" s="628"/>
      <c r="J85" s="628"/>
      <c r="K85" s="21"/>
      <c r="L85" s="4"/>
      <c r="M85" s="660">
        <f>IF(ISNA(VLOOKUP($M$80,'Val-Départ'!B38:AC38,35,FALSE)),,VLOOKUP($M$80,'Val-Départ'!B38:AC38,35,FALSE))</f>
        <v>0</v>
      </c>
      <c r="N85" s="681">
        <f>IF(ISNA(VLOOKUP($M$80,'Val-Départ'!AF38:AK38,6,FALSE)),,VLOOKUP($M$80,'Val-Départ'!AF38:AK38,6,FALSE))</f>
        <v>0</v>
      </c>
      <c r="O85" s="134"/>
      <c r="P85" s="231">
        <v>38</v>
      </c>
      <c r="Q85" s="21"/>
      <c r="R85" s="628"/>
      <c r="S85" s="628"/>
      <c r="T85" s="628"/>
      <c r="U85" s="628"/>
      <c r="V85" s="628"/>
    </row>
    <row r="86" spans="1:22">
      <c r="A86" s="21"/>
      <c r="B86" s="317"/>
      <c r="C86" s="231">
        <v>17</v>
      </c>
      <c r="D86" s="4"/>
      <c r="E86" s="656">
        <f>IF(ISNA(VLOOKUP(E$80,'Val-Départ'!B17:W17,18,FALSE)),,VLOOKUP($E$80,'Val-Départ'!B17:W17,18,FALSE))</f>
        <v>0</v>
      </c>
      <c r="F86" s="657">
        <f>IF(ISNA(VLOOKUP($E$80,'Val-Départ'!Y17:AD17,6,FALSE)),,VLOOKUP($E$80,'Val-Départ'!Y17:AD17,6,FALSE))</f>
        <v>0</v>
      </c>
      <c r="G86" s="4"/>
      <c r="H86" s="655"/>
      <c r="I86" s="628"/>
      <c r="J86" s="628"/>
      <c r="K86" s="21"/>
      <c r="L86" s="4"/>
      <c r="M86" s="660">
        <f>IF(ISNA(VLOOKUP($M$80,'Val-Départ'!B39:AC39,35,FALSE)),,VLOOKUP($M$80,'Val-Départ'!B39:AC39,35,FALSE))</f>
        <v>0</v>
      </c>
      <c r="N86" s="681">
        <f>IF(ISNA(VLOOKUP($M$80,'Val-Départ'!AF39:AK39,6,FALSE)),,VLOOKUP($M$80,'Val-Départ'!AF39:AK39,6,FALSE))</f>
        <v>0</v>
      </c>
      <c r="O86" s="4"/>
      <c r="P86" s="231">
        <v>39</v>
      </c>
      <c r="Q86" s="21"/>
      <c r="R86" s="628"/>
      <c r="S86" s="628"/>
      <c r="T86" s="628"/>
      <c r="U86" s="628"/>
      <c r="V86" s="628"/>
    </row>
    <row r="87" spans="1:22" s="737" customFormat="1">
      <c r="A87" s="21"/>
      <c r="B87" s="317"/>
      <c r="C87" s="231">
        <v>18</v>
      </c>
      <c r="D87" s="4"/>
      <c r="E87" s="656">
        <f>IF(ISNA(VLOOKUP(E$80,'Val-Départ'!B18:W18,18,FALSE)),,VLOOKUP($E$80,'Val-Départ'!B18:W18,18,FALSE))</f>
        <v>0</v>
      </c>
      <c r="F87" s="657">
        <f>IF(ISNA(VLOOKUP($E$80,'Val-Départ'!Y18:AD18,6,FALSE)),,VLOOKUP($E$80,'Val-Départ'!Y18:AD18,6,FALSE))</f>
        <v>0</v>
      </c>
      <c r="G87" s="4"/>
      <c r="H87" s="655"/>
      <c r="K87" s="21"/>
      <c r="L87" s="4"/>
      <c r="M87" s="660">
        <f>IF(ISNA(VLOOKUP($M$80,'Val-Départ'!B40:AC40,35,FALSE)),,VLOOKUP($M$80,'Val-Départ'!B40:AC40,35,FALSE))</f>
        <v>0</v>
      </c>
      <c r="N87" s="681">
        <f>IF(ISNA(VLOOKUP($M$80,'Val-Départ'!AF40:AK40,6,FALSE)),,VLOOKUP($M$80,'Val-Départ'!AF40:AK40,6,FALSE))</f>
        <v>0</v>
      </c>
      <c r="O87" s="4"/>
      <c r="P87" s="231">
        <v>40</v>
      </c>
      <c r="Q87" s="21"/>
    </row>
    <row r="88" spans="1:22" s="737" customFormat="1">
      <c r="A88" s="21"/>
      <c r="B88" s="317"/>
      <c r="C88" s="231">
        <v>19</v>
      </c>
      <c r="D88" s="4"/>
      <c r="E88" s="656">
        <f>IF(ISNA(VLOOKUP(E$80,'Val-Départ'!B19:W19,18,FALSE)),,VLOOKUP($E$80,'Val-Départ'!B19:W19,18,FALSE))</f>
        <v>0</v>
      </c>
      <c r="F88" s="657">
        <f>IF(ISNA(VLOOKUP($E$80,'Val-Départ'!Y19:AD19,6,FALSE)),,VLOOKUP($E$80,'Val-Départ'!Y19:AD19,6,FALSE))</f>
        <v>0</v>
      </c>
      <c r="G88" s="4"/>
      <c r="H88" s="655"/>
      <c r="K88" s="21"/>
      <c r="L88" s="4"/>
      <c r="M88" s="660">
        <f>IF(ISNA(VLOOKUP($M$80,'Val-Départ'!B41:AC41,35,FALSE)),,VLOOKUP($M$80,'Val-Départ'!B41:AC41,35,FALSE))</f>
        <v>0</v>
      </c>
      <c r="N88" s="681">
        <f>IF(ISNA(VLOOKUP($M$80,'Val-Départ'!AF41:AK41,6,FALSE)),,VLOOKUP($M$80,'Val-Départ'!AF41:AK41,6,FALSE))</f>
        <v>0</v>
      </c>
      <c r="O88" s="4"/>
      <c r="P88" s="231">
        <v>41</v>
      </c>
      <c r="Q88" s="21"/>
    </row>
    <row r="89" spans="1:22" s="737" customFormat="1">
      <c r="A89" s="21"/>
      <c r="B89" s="317"/>
      <c r="C89" s="231">
        <v>20</v>
      </c>
      <c r="D89" s="4"/>
      <c r="E89" s="656">
        <f>IF(ISNA(VLOOKUP(E$80,'Val-Départ'!B20:W20,18,FALSE)),,VLOOKUP($E$80,'Val-Départ'!B20:W20,18,FALSE))</f>
        <v>0</v>
      </c>
      <c r="F89" s="657">
        <f>IF(ISNA(VLOOKUP($E$80,'Val-Départ'!Y20:AD20,6,FALSE)),,VLOOKUP($E$80,'Val-Départ'!Y20:AD20,6,FALSE))</f>
        <v>0</v>
      </c>
      <c r="G89" s="4"/>
      <c r="H89" s="655"/>
      <c r="K89" s="21"/>
      <c r="L89" s="4"/>
      <c r="M89" s="660">
        <f>IF(ISNA(VLOOKUP($M$80,'Val-Départ'!B42:AC42,35,FALSE)),,VLOOKUP($M$80,'Val-Départ'!B42:AC42,35,FALSE))</f>
        <v>0</v>
      </c>
      <c r="N89" s="681">
        <f>IF(ISNA(VLOOKUP($M$80,'Val-Départ'!AF42:AK42,6,FALSE)),,VLOOKUP($M$80,'Val-Départ'!AF42:AK42,6,FALSE))</f>
        <v>0</v>
      </c>
      <c r="O89" s="4"/>
      <c r="P89" s="231">
        <v>42</v>
      </c>
      <c r="Q89" s="21"/>
    </row>
    <row r="90" spans="1:22" s="737" customFormat="1">
      <c r="A90" s="21"/>
      <c r="B90" s="317"/>
      <c r="C90" s="231">
        <v>21</v>
      </c>
      <c r="D90" s="4"/>
      <c r="E90" s="656">
        <f>IF(ISNA(VLOOKUP(E$80,'Val-Départ'!B21:W21,18,FALSE)),,VLOOKUP($E$80,'Val-Départ'!B21:W21,18,FALSE))</f>
        <v>0</v>
      </c>
      <c r="F90" s="657">
        <f>IF(ISNA(VLOOKUP($E$80,'Val-Départ'!Y21:AD21,6,FALSE)),,VLOOKUP($E$80,'Val-Départ'!Y21:AD21,6,FALSE))</f>
        <v>0</v>
      </c>
      <c r="G90" s="4"/>
      <c r="H90" s="655"/>
      <c r="K90" s="21"/>
      <c r="L90" s="4"/>
      <c r="M90" s="660">
        <f>IF(ISNA(VLOOKUP($M$80,'Val-Départ'!B43:AC43,35,FALSE)),,VLOOKUP($M$80,'Val-Départ'!B43:AC43,35,FALSE))</f>
        <v>0</v>
      </c>
      <c r="N90" s="681">
        <f>IF(ISNA(VLOOKUP($M$80,'Val-Départ'!AF43:AK43,6,FALSE)),,VLOOKUP($M$80,'Val-Départ'!AF43:AK43,6,FALSE))</f>
        <v>0</v>
      </c>
      <c r="O90" s="4"/>
      <c r="P90" s="231">
        <v>43</v>
      </c>
      <c r="Q90" s="21"/>
    </row>
    <row r="91" spans="1:22" s="737" customFormat="1">
      <c r="A91" s="21"/>
      <c r="B91" s="317"/>
      <c r="C91" s="231">
        <v>22</v>
      </c>
      <c r="D91" s="4"/>
      <c r="E91" s="656">
        <f>IF(ISNA(VLOOKUP(E$80,'Val-Départ'!B22:W22,18,FALSE)),,VLOOKUP($E$80,'Val-Départ'!B22:W22,18,FALSE))</f>
        <v>0</v>
      </c>
      <c r="F91" s="657">
        <f>IF(ISNA(VLOOKUP($E$80,'Val-Départ'!Y22:AD22,6,FALSE)),,VLOOKUP($E$80,'Val-Départ'!Y22:AD22,6,FALSE))</f>
        <v>0</v>
      </c>
      <c r="G91" s="4"/>
      <c r="H91" s="655"/>
      <c r="K91" s="21"/>
      <c r="L91" s="4"/>
      <c r="M91" s="660">
        <f>IF(ISNA(VLOOKUP($M$80,'Val-Départ'!B44:AC44,35,FALSE)),,VLOOKUP($M$80,'Val-Départ'!B44:AC44,35,FALSE))</f>
        <v>0</v>
      </c>
      <c r="N91" s="681">
        <f>IF(ISNA(VLOOKUP($M$80,'Val-Départ'!AF44:AK44,6,FALSE)),,VLOOKUP($M$80,'Val-Départ'!AF44:AK44,6,FALSE))</f>
        <v>0</v>
      </c>
      <c r="O91" s="4"/>
      <c r="P91" s="231">
        <v>44</v>
      </c>
      <c r="Q91" s="21"/>
    </row>
    <row r="92" spans="1:22" s="737" customFormat="1" ht="15.75" thickBot="1">
      <c r="A92" s="21"/>
      <c r="B92" s="317"/>
      <c r="C92" s="231">
        <v>23</v>
      </c>
      <c r="D92" s="4"/>
      <c r="E92" s="656">
        <f>IF(ISNA(VLOOKUP(E$80,'Val-Départ'!B23:W23,18,FALSE)),,VLOOKUP($E$80,'Val-Départ'!B23:W23,18,FALSE))</f>
        <v>0</v>
      </c>
      <c r="F92" s="657">
        <f>IF(ISNA(VLOOKUP($E$80,'Val-Départ'!Y23:AD23,6,FALSE)),,VLOOKUP($E$80,'Val-Départ'!Y23:AD23,6,FALSE))</f>
        <v>0</v>
      </c>
      <c r="G92" s="4"/>
      <c r="H92" s="655"/>
      <c r="K92" s="21"/>
      <c r="L92" s="4"/>
      <c r="M92" s="660">
        <f>IF(ISNA(VLOOKUP($M$80,'Val-Départ'!B45:AC45,35,FALSE)),,VLOOKUP($M$80,'Val-Départ'!B45:AC45,35,FALSE))</f>
        <v>0</v>
      </c>
      <c r="N92" s="681">
        <f>IF(ISNA(VLOOKUP($M$80,'Val-Départ'!AF45:AK45,6,FALSE)),,VLOOKUP($M$80,'Val-Départ'!AF45:AK45,6,FALSE))</f>
        <v>0</v>
      </c>
      <c r="O92" s="4"/>
      <c r="P92" s="231"/>
      <c r="Q92" s="21"/>
    </row>
    <row r="93" spans="1:22">
      <c r="A93" s="21"/>
      <c r="B93" s="317"/>
      <c r="C93" s="4"/>
      <c r="D93" s="216"/>
      <c r="E93" s="311">
        <f>SUM(E81:E86)</f>
        <v>0</v>
      </c>
      <c r="F93" s="663">
        <f>SUM(F82:F86)</f>
        <v>0</v>
      </c>
      <c r="G93" s="216"/>
      <c r="H93" s="655"/>
      <c r="I93" s="628"/>
      <c r="J93" s="628"/>
      <c r="K93" s="21"/>
      <c r="L93" s="4"/>
      <c r="M93" s="311">
        <f>SUM(M82:M86)</f>
        <v>0</v>
      </c>
      <c r="N93" s="311">
        <f>SUM(N82:N86)</f>
        <v>0</v>
      </c>
      <c r="O93" s="216"/>
      <c r="P93" s="231">
        <v>44</v>
      </c>
      <c r="Q93" s="21"/>
      <c r="R93" s="628"/>
      <c r="S93" s="628"/>
      <c r="T93" s="628"/>
      <c r="U93" s="628"/>
      <c r="V93" s="628"/>
    </row>
    <row r="94" spans="1:22" ht="19.5" thickBot="1">
      <c r="A94" s="21"/>
      <c r="B94" s="317"/>
      <c r="C94" s="4"/>
      <c r="D94" s="4"/>
      <c r="E94" s="704">
        <f>E93-F93</f>
        <v>0</v>
      </c>
      <c r="F94" s="391" t="s">
        <v>457</v>
      </c>
      <c r="G94" s="391"/>
      <c r="H94" s="694"/>
      <c r="I94" s="628"/>
      <c r="J94" s="628"/>
      <c r="K94" s="21"/>
      <c r="L94" s="4"/>
      <c r="M94" s="4"/>
      <c r="N94" s="705">
        <f>(N93-M93)</f>
        <v>0</v>
      </c>
      <c r="O94" s="706" t="s">
        <v>260</v>
      </c>
      <c r="P94" s="317"/>
      <c r="Q94" s="21"/>
      <c r="R94" s="628"/>
      <c r="S94" s="628"/>
      <c r="T94" s="628"/>
      <c r="U94" s="628"/>
      <c r="V94" s="628"/>
    </row>
    <row r="95" spans="1:22" ht="15.75" thickBot="1">
      <c r="A95" s="21"/>
      <c r="B95" s="317"/>
      <c r="C95" s="21"/>
      <c r="D95" s="21"/>
      <c r="E95" s="712"/>
      <c r="F95" s="21"/>
      <c r="G95" s="21"/>
      <c r="H95" s="696"/>
      <c r="I95" s="628"/>
      <c r="J95" s="628"/>
      <c r="K95" s="21"/>
      <c r="L95" s="4"/>
      <c r="M95" s="21"/>
      <c r="N95" s="712"/>
      <c r="O95" s="21"/>
      <c r="P95" s="317"/>
      <c r="Q95" s="21"/>
      <c r="R95" s="628"/>
      <c r="S95" s="628"/>
      <c r="T95" s="628"/>
      <c r="U95" s="628"/>
      <c r="V95" s="628"/>
    </row>
    <row r="96" spans="1:22">
      <c r="A96" s="21"/>
      <c r="B96" s="317"/>
      <c r="C96" s="21"/>
      <c r="D96" s="21"/>
      <c r="E96" s="21"/>
      <c r="F96" s="21"/>
      <c r="G96" s="21"/>
      <c r="H96" s="696"/>
      <c r="I96" s="628"/>
      <c r="J96" s="628"/>
      <c r="K96" s="21"/>
      <c r="L96" s="216"/>
      <c r="M96" s="21"/>
      <c r="N96" s="21"/>
      <c r="O96" s="21"/>
      <c r="P96" s="317"/>
      <c r="Q96" s="21"/>
      <c r="R96" s="628"/>
      <c r="S96" s="628"/>
      <c r="T96" s="628"/>
      <c r="U96" s="628"/>
      <c r="V96" s="628"/>
    </row>
    <row r="97" spans="1:22" ht="18.75">
      <c r="A97" s="21"/>
      <c r="B97" s="317"/>
      <c r="C97" s="21"/>
      <c r="D97" s="21"/>
      <c r="E97" s="633"/>
      <c r="F97" s="633"/>
      <c r="G97" s="21"/>
      <c r="H97" s="713"/>
      <c r="I97" s="628"/>
      <c r="J97" s="628"/>
      <c r="K97" s="21"/>
      <c r="L97" s="4"/>
      <c r="M97" s="633"/>
      <c r="N97" s="633"/>
      <c r="O97" s="21"/>
      <c r="P97" s="317"/>
      <c r="Q97" s="21"/>
      <c r="R97" s="628"/>
      <c r="S97" s="628"/>
      <c r="T97" s="628"/>
      <c r="U97" s="628"/>
      <c r="V97" s="628"/>
    </row>
    <row r="98" spans="1:22">
      <c r="A98" s="21"/>
      <c r="B98" s="317"/>
      <c r="C98" s="21"/>
      <c r="D98" s="711"/>
      <c r="E98" s="633"/>
      <c r="F98" s="661"/>
      <c r="G98" s="21"/>
      <c r="H98" s="631"/>
      <c r="I98" s="628"/>
      <c r="J98" s="628"/>
      <c r="K98" s="21"/>
      <c r="L98" s="21"/>
      <c r="M98" s="661"/>
      <c r="N98" s="633"/>
      <c r="O98" s="711"/>
      <c r="P98" s="317"/>
      <c r="Q98" s="21"/>
      <c r="R98" s="628"/>
      <c r="S98" s="628"/>
      <c r="T98" s="628"/>
      <c r="U98" s="628"/>
      <c r="V98" s="628"/>
    </row>
    <row r="99" spans="1:22">
      <c r="A99" s="21"/>
      <c r="B99" s="317"/>
      <c r="C99" s="714"/>
      <c r="D99" s="714"/>
      <c r="E99" s="633"/>
      <c r="F99" s="715"/>
      <c r="G99" s="714"/>
      <c r="H99" s="21"/>
      <c r="I99" s="628"/>
      <c r="J99" s="628"/>
      <c r="K99" s="21"/>
      <c r="L99" s="21"/>
      <c r="M99" s="715"/>
      <c r="N99" s="715"/>
      <c r="O99" s="21"/>
      <c r="P99" s="317"/>
      <c r="Q99" s="21"/>
      <c r="R99" s="628"/>
      <c r="S99" s="628"/>
      <c r="T99" s="628"/>
      <c r="U99" s="628"/>
      <c r="V99" s="628"/>
    </row>
    <row r="100" spans="1:22" ht="19.5" thickBot="1">
      <c r="A100" s="21"/>
      <c r="B100" s="317"/>
      <c r="C100" s="661"/>
      <c r="D100" s="627"/>
      <c r="E100" s="725" t="s">
        <v>456</v>
      </c>
      <c r="F100" s="720"/>
      <c r="G100" s="721"/>
      <c r="H100" s="631"/>
      <c r="I100" s="4"/>
      <c r="J100" s="4"/>
      <c r="K100" s="21"/>
      <c r="L100" s="722"/>
      <c r="M100" s="725" t="s">
        <v>456</v>
      </c>
      <c r="N100" s="723"/>
      <c r="O100" s="724"/>
      <c r="P100" s="317"/>
      <c r="Q100" s="21"/>
      <c r="R100" s="628"/>
      <c r="S100" s="628"/>
      <c r="T100" s="628"/>
      <c r="U100" s="628"/>
      <c r="V100" s="628"/>
    </row>
    <row r="101" spans="1:22" ht="15.75" thickBot="1">
      <c r="A101" s="21"/>
      <c r="B101" s="317"/>
      <c r="C101" s="631"/>
      <c r="D101" s="249" t="s">
        <v>263</v>
      </c>
      <c r="E101" s="639">
        <f t="array" ref="E101">INDEX('Val-Départ'!B$1:B$23,MIN(IF(COUNTIF('Liv-Four-client'!E$11:E100,'Val-Départ'!B$13:B$23)=0,ROW($13:$23))))</f>
        <v>0</v>
      </c>
      <c r="F101" s="640" t="str">
        <f>IFERROR(VLOOKUP($E$101,'Val-Départ'!$B$13:$D$23,2,FALSE),"")</f>
        <v/>
      </c>
      <c r="G101" s="249" t="s">
        <v>262</v>
      </c>
      <c r="H101" s="658"/>
      <c r="I101" s="4"/>
      <c r="J101" s="4"/>
      <c r="K101" s="21"/>
      <c r="L101" s="249" t="s">
        <v>263</v>
      </c>
      <c r="M101" s="639">
        <f t="array" ref="M101">INDEX('Val-Départ'!B$1:B$44,MIN(IF(COUNTIF('Liv-Four-client'!M$11:M100,'Val-Départ'!B$35:B$45)=0,ROW($35:$45))))</f>
        <v>0</v>
      </c>
      <c r="N101" s="640" t="str">
        <f>IFERROR(VLOOKUP($M$101,'Val-Départ'!$B$40:$D$45,2,FALSE),"")</f>
        <v/>
      </c>
      <c r="O101" s="249" t="s">
        <v>262</v>
      </c>
      <c r="P101" s="231"/>
      <c r="Q101" s="21"/>
      <c r="R101" s="628"/>
      <c r="S101" s="628"/>
      <c r="T101" s="628"/>
      <c r="U101" s="628"/>
      <c r="V101" s="628"/>
    </row>
    <row r="102" spans="1:22">
      <c r="A102" s="21"/>
      <c r="B102" s="714"/>
      <c r="C102" s="4"/>
      <c r="D102" s="673" t="s">
        <v>278</v>
      </c>
      <c r="E102" s="647" t="str">
        <f>IFERROR(VLOOKUP($E$101,'Val-Départ'!$B$12:$D$19,3,FALSE),"")</f>
        <v/>
      </c>
      <c r="F102" s="674" t="s">
        <v>282</v>
      </c>
      <c r="G102" s="678"/>
      <c r="H102" s="655"/>
      <c r="I102" s="4"/>
      <c r="J102" s="4"/>
      <c r="K102" s="21"/>
      <c r="L102" s="678"/>
      <c r="M102" s="679" t="s">
        <v>279</v>
      </c>
      <c r="N102" s="647" t="str">
        <f>IFERROR(VLOOKUP($M$101,'Val-Départ'!$B$40:$D$45,3,FALSE),"")</f>
        <v/>
      </c>
      <c r="O102" s="673" t="s">
        <v>278</v>
      </c>
      <c r="P102" s="231"/>
      <c r="Q102" s="21"/>
      <c r="R102" s="628"/>
      <c r="S102" s="628"/>
      <c r="T102" s="628"/>
      <c r="U102" s="628"/>
      <c r="V102" s="628"/>
    </row>
    <row r="103" spans="1:22">
      <c r="A103" s="21"/>
      <c r="B103" s="317"/>
      <c r="C103" s="231">
        <v>13</v>
      </c>
      <c r="D103" s="134"/>
      <c r="E103" s="656">
        <f>IF(ISNA(VLOOKUP($E$101,'Val-Départ'!B13:W13,18,FALSE)),,VLOOKUP($E$101,'Val-Départ'!B13:W13,18,FALSE))</f>
        <v>0</v>
      </c>
      <c r="F103" s="657">
        <f>IF(ISNA(VLOOKUP($E$101,'Val-Départ'!Y13:AD13,6,FALSE)),,VLOOKUP($E$101,'Val-Départ'!Y13:AD13,6,FALSE))</f>
        <v>0</v>
      </c>
      <c r="G103" s="4"/>
      <c r="H103" s="655"/>
      <c r="I103" s="4"/>
      <c r="J103" s="4"/>
      <c r="K103" s="21"/>
      <c r="L103" s="4"/>
      <c r="M103" s="681">
        <f>IF(ISNA(VLOOKUP($M$101,'Val-Départ'!B35:AC35,35,FALSE)),,VLOOKUP($M$101,'Val-Départ'!B35:AC35,35,FALSE))</f>
        <v>0</v>
      </c>
      <c r="N103" s="660">
        <f>IF(ISNA(VLOOKUP($M$101,'Val-Départ'!AF35:AK35,6,FALSE)),,VLOOKUP($M$101,'Val-Départ'!AF35:AK35,6,FALSE))</f>
        <v>0</v>
      </c>
      <c r="O103" s="134"/>
      <c r="P103" s="231">
        <v>35</v>
      </c>
      <c r="Q103" s="21"/>
      <c r="R103" s="628"/>
      <c r="T103" s="628"/>
      <c r="U103" s="628"/>
      <c r="V103" s="628"/>
    </row>
    <row r="104" spans="1:22">
      <c r="A104" s="21"/>
      <c r="B104" s="317"/>
      <c r="C104" s="231">
        <v>14</v>
      </c>
      <c r="D104" s="134"/>
      <c r="E104" s="656">
        <f>IF(ISNA(VLOOKUP($E$101,'Val-Départ'!B14:W14,18,FALSE)),,VLOOKUP($E$101,'Val-Départ'!B14:W14,18,FALSE))</f>
        <v>0</v>
      </c>
      <c r="F104" s="657">
        <f>IF(ISNA(VLOOKUP($E$101,'Val-Départ'!Y14:AD14,6,FALSE)),,VLOOKUP($E$101,'Val-Départ'!Y14:AD14,6,FALSE))</f>
        <v>0</v>
      </c>
      <c r="G104" s="4"/>
      <c r="H104" s="655"/>
      <c r="I104" s="628"/>
      <c r="J104" s="628"/>
      <c r="K104" s="21"/>
      <c r="L104" s="4"/>
      <c r="M104" s="681">
        <f>IF(ISNA(VLOOKUP($M$101,'Val-Départ'!B36:AC36,35,FALSE)),,VLOOKUP($M$101,'Val-Départ'!B36:AC36,35,FALSE))</f>
        <v>0</v>
      </c>
      <c r="N104" s="660">
        <f>IF(ISNA(VLOOKUP($M$101,'Val-Départ'!AF36:AK36,6,FALSE)),,VLOOKUP($M$101,'Val-Départ'!AF36:AK36,6,FALSE))</f>
        <v>0</v>
      </c>
      <c r="O104" s="134"/>
      <c r="P104" s="231">
        <v>36</v>
      </c>
      <c r="Q104" s="21"/>
      <c r="R104" s="628"/>
      <c r="S104" s="628"/>
      <c r="T104" s="628"/>
      <c r="U104" s="628"/>
      <c r="V104" s="628"/>
    </row>
    <row r="105" spans="1:22">
      <c r="A105" s="21"/>
      <c r="B105" s="317"/>
      <c r="C105" s="231">
        <v>15</v>
      </c>
      <c r="D105" s="134"/>
      <c r="E105" s="656">
        <f>IF(ISNA(VLOOKUP($E$101,'Val-Départ'!B15:W15,18,FALSE)),,VLOOKUP($E$101,'Val-Départ'!B15:W15,18,FALSE))</f>
        <v>0</v>
      </c>
      <c r="F105" s="657">
        <f>IF(ISNA(VLOOKUP($E$101,'Val-Départ'!Y15:AD15,6,FALSE)),,VLOOKUP($E$101,'Val-Départ'!Y15:AD15,6,FALSE))</f>
        <v>0</v>
      </c>
      <c r="G105" s="4"/>
      <c r="H105" s="655"/>
      <c r="I105" s="628"/>
      <c r="J105" s="628"/>
      <c r="K105" s="21"/>
      <c r="L105" s="4"/>
      <c r="M105" s="681">
        <f>IF(ISNA(VLOOKUP($M$101,'Val-Départ'!B37:AC37,35,FALSE)),,VLOOKUP($M$101,'Val-Départ'!B37:AC37,35,FALSE))</f>
        <v>0</v>
      </c>
      <c r="N105" s="660">
        <f>IF(ISNA(VLOOKUP($M$101,'Val-Départ'!AF37:AK37,6,FALSE)),,VLOOKUP($M$101,'Val-Départ'!AF37:AK37,6,FALSE))</f>
        <v>0</v>
      </c>
      <c r="O105" s="134"/>
      <c r="P105" s="231">
        <v>37</v>
      </c>
      <c r="Q105" s="21"/>
      <c r="R105" s="628"/>
      <c r="S105" s="628"/>
      <c r="T105" s="628"/>
      <c r="U105" s="628"/>
      <c r="V105" s="628"/>
    </row>
    <row r="106" spans="1:22">
      <c r="A106" s="21"/>
      <c r="B106" s="317"/>
      <c r="C106" s="231">
        <v>16</v>
      </c>
      <c r="D106" s="134"/>
      <c r="E106" s="656">
        <f>IF(ISNA(VLOOKUP($E$101,'Val-Départ'!B16:W16,18,FALSE)),,VLOOKUP($E$101,'Val-Départ'!B16:W16,18,FALSE))</f>
        <v>0</v>
      </c>
      <c r="F106" s="657">
        <f>IF(ISNA(VLOOKUP($E$101,'Val-Départ'!Y16:AD16,6,FALSE)),,VLOOKUP($E$101,'Val-Départ'!Y16:AD16,6,FALSE))</f>
        <v>0</v>
      </c>
      <c r="G106" s="4"/>
      <c r="H106" s="655"/>
      <c r="I106" s="628"/>
      <c r="J106" s="628"/>
      <c r="K106" s="21"/>
      <c r="L106" s="4"/>
      <c r="M106" s="681">
        <f>IF(ISNA(VLOOKUP($M$101,'Val-Départ'!B38:AC38,35,FALSE)),,VLOOKUP($M$101,'Val-Départ'!B38:AC38,35,FALSE))</f>
        <v>0</v>
      </c>
      <c r="N106" s="660">
        <f>IF(ISNA(VLOOKUP($M$101,'Val-Départ'!AF38:AK38,6,FALSE)),,VLOOKUP($M$101,'Val-Départ'!AF38:AK38,6,FALSE))</f>
        <v>0</v>
      </c>
      <c r="O106" s="134"/>
      <c r="P106" s="231">
        <v>38</v>
      </c>
      <c r="Q106" s="21"/>
      <c r="R106" s="628"/>
      <c r="S106" s="628"/>
      <c r="T106" s="628"/>
      <c r="U106" s="628"/>
      <c r="V106" s="628"/>
    </row>
    <row r="107" spans="1:22">
      <c r="A107" s="21"/>
      <c r="B107" s="317"/>
      <c r="C107" s="231">
        <v>17</v>
      </c>
      <c r="D107" s="4"/>
      <c r="E107" s="656">
        <f>IF(ISNA(VLOOKUP($E$101,'Val-Départ'!B17:W17,18,FALSE)),,VLOOKUP($E$101,'Val-Départ'!B17:W17,18,FALSE))</f>
        <v>0</v>
      </c>
      <c r="F107" s="657">
        <f>IF(ISNA(VLOOKUP($E$101,'Val-Départ'!Y17:AD17,6,FALSE)),,VLOOKUP($E$101,'Val-Départ'!Y17:AD17,6,FALSE))</f>
        <v>0</v>
      </c>
      <c r="G107" s="4"/>
      <c r="H107" s="655"/>
      <c r="I107" s="628"/>
      <c r="J107" s="628"/>
      <c r="K107" s="21"/>
      <c r="L107" s="4"/>
      <c r="M107" s="681">
        <f>IF(ISNA(VLOOKUP($M$101,'Val-Départ'!B39:AC39,35,FALSE)),,VLOOKUP($M$101,'Val-Départ'!B39:AC39,35,FALSE))</f>
        <v>0</v>
      </c>
      <c r="N107" s="660">
        <f>IF(ISNA(VLOOKUP($M$101,'Val-Départ'!AF39:AK39,6,FALSE)),,VLOOKUP($M$101,'Val-Départ'!AF39:AK39,6,FALSE))</f>
        <v>0</v>
      </c>
      <c r="O107" s="4"/>
      <c r="P107" s="231">
        <v>39</v>
      </c>
      <c r="Q107" s="21"/>
      <c r="R107" s="628"/>
      <c r="S107" s="628"/>
      <c r="T107" s="628"/>
      <c r="U107" s="628"/>
      <c r="V107" s="628"/>
    </row>
    <row r="108" spans="1:22" s="737" customFormat="1">
      <c r="A108" s="21"/>
      <c r="B108" s="317"/>
      <c r="C108" s="231">
        <v>18</v>
      </c>
      <c r="D108" s="4"/>
      <c r="E108" s="656">
        <f>IF(ISNA(VLOOKUP($E$101,'Val-Départ'!B18:W18,18,FALSE)),,VLOOKUP($E$101,'Val-Départ'!B18:W18,18,FALSE))</f>
        <v>0</v>
      </c>
      <c r="F108" s="657">
        <f>IF(ISNA(VLOOKUP($E$101,'Val-Départ'!Y18:AD18,6,FALSE)),,VLOOKUP($E$101,'Val-Départ'!Y18:AD18,6,FALSE))</f>
        <v>0</v>
      </c>
      <c r="G108" s="4"/>
      <c r="H108" s="655"/>
      <c r="K108" s="21"/>
      <c r="L108" s="4"/>
      <c r="M108" s="681">
        <f>IF(ISNA(VLOOKUP($M$101,'Val-Départ'!B40:AC40,35,FALSE)),,VLOOKUP($M$101,'Val-Départ'!B40:AC40,35,FALSE))</f>
        <v>0</v>
      </c>
      <c r="N108" s="660">
        <f>IF(ISNA(VLOOKUP($M$101,'Val-Départ'!AF40:AK40,6,FALSE)),,VLOOKUP($M$101,'Val-Départ'!AF40:AK40,6,FALSE))</f>
        <v>0</v>
      </c>
      <c r="O108" s="4"/>
      <c r="P108" s="231">
        <v>40</v>
      </c>
      <c r="Q108" s="21"/>
    </row>
    <row r="109" spans="1:22" s="737" customFormat="1">
      <c r="A109" s="21"/>
      <c r="B109" s="317"/>
      <c r="C109" s="231">
        <v>19</v>
      </c>
      <c r="D109" s="4"/>
      <c r="E109" s="656">
        <f>IF(ISNA(VLOOKUP($E$101,'Val-Départ'!B19:W19,18,FALSE)),,VLOOKUP($E$101,'Val-Départ'!B19:W19,18,FALSE))</f>
        <v>0</v>
      </c>
      <c r="F109" s="657">
        <f>IF(ISNA(VLOOKUP($E$101,'Val-Départ'!Y19:AD19,6,FALSE)),,VLOOKUP($E$101,'Val-Départ'!Y19:AD19,6,FALSE))</f>
        <v>0</v>
      </c>
      <c r="G109" s="4"/>
      <c r="H109" s="655"/>
      <c r="K109" s="21"/>
      <c r="L109" s="4"/>
      <c r="M109" s="681">
        <f>IF(ISNA(VLOOKUP($M$101,'Val-Départ'!B41:AC41,35,FALSE)),,VLOOKUP($M$101,'Val-Départ'!B41:AC41,35,FALSE))</f>
        <v>0</v>
      </c>
      <c r="N109" s="660">
        <f>IF(ISNA(VLOOKUP($M$101,'Val-Départ'!AF41:AK41,6,FALSE)),,VLOOKUP($M$101,'Val-Départ'!AF41:AK41,6,FALSE))</f>
        <v>0</v>
      </c>
      <c r="O109" s="4"/>
      <c r="P109" s="231">
        <v>41</v>
      </c>
      <c r="Q109" s="21"/>
    </row>
    <row r="110" spans="1:22" s="737" customFormat="1">
      <c r="A110" s="21"/>
      <c r="B110" s="317"/>
      <c r="C110" s="231">
        <v>20</v>
      </c>
      <c r="D110" s="4"/>
      <c r="E110" s="656">
        <f>IF(ISNA(VLOOKUP($E$101,'Val-Départ'!B20:W20,18,FALSE)),,VLOOKUP($E$101,'Val-Départ'!B20:W20,18,FALSE))</f>
        <v>0</v>
      </c>
      <c r="F110" s="657">
        <f>IF(ISNA(VLOOKUP($E$101,'Val-Départ'!Y20:AD20,6,FALSE)),,VLOOKUP($E$101,'Val-Départ'!Y20:AD20,6,FALSE))</f>
        <v>0</v>
      </c>
      <c r="G110" s="4"/>
      <c r="H110" s="655"/>
      <c r="K110" s="21"/>
      <c r="L110" s="4"/>
      <c r="M110" s="681">
        <f>IF(ISNA(VLOOKUP($M$101,'Val-Départ'!B42:AC42,35,FALSE)),,VLOOKUP($M$101,'Val-Départ'!B42:AC42,35,FALSE))</f>
        <v>0</v>
      </c>
      <c r="N110" s="660">
        <f>IF(ISNA(VLOOKUP($M$101,'Val-Départ'!AF42:AK42,6,FALSE)),,VLOOKUP($M$101,'Val-Départ'!AF42:AK42,6,FALSE))</f>
        <v>0</v>
      </c>
      <c r="O110" s="4"/>
      <c r="P110" s="231">
        <v>42</v>
      </c>
      <c r="Q110" s="21"/>
    </row>
    <row r="111" spans="1:22" s="737" customFormat="1">
      <c r="A111" s="21"/>
      <c r="B111" s="317"/>
      <c r="C111" s="231">
        <v>21</v>
      </c>
      <c r="D111" s="4"/>
      <c r="E111" s="656">
        <f>IF(ISNA(VLOOKUP($E$101,'Val-Départ'!B21:W21,18,FALSE)),,VLOOKUP($E$101,'Val-Départ'!B21:W21,18,FALSE))</f>
        <v>0</v>
      </c>
      <c r="F111" s="657">
        <f>IF(ISNA(VLOOKUP($E$101,'Val-Départ'!Y21:AD21,6,FALSE)),,VLOOKUP($E$101,'Val-Départ'!Y21:AD21,6,FALSE))</f>
        <v>0</v>
      </c>
      <c r="G111" s="4"/>
      <c r="H111" s="655"/>
      <c r="K111" s="21"/>
      <c r="L111" s="4"/>
      <c r="M111" s="681">
        <f>IF(ISNA(VLOOKUP($M$101,'Val-Départ'!B43:AC43,35,FALSE)),,VLOOKUP($M$101,'Val-Départ'!B43:AC43,35,FALSE))</f>
        <v>0</v>
      </c>
      <c r="N111" s="660">
        <f>IF(ISNA(VLOOKUP($M$101,'Val-Départ'!AF43:AK43,6,FALSE)),,VLOOKUP($M$101,'Val-Départ'!AF43:AK43,6,FALSE))</f>
        <v>0</v>
      </c>
      <c r="O111" s="4"/>
      <c r="P111" s="231">
        <v>43</v>
      </c>
      <c r="Q111" s="21"/>
    </row>
    <row r="112" spans="1:22" s="737" customFormat="1">
      <c r="A112" s="21"/>
      <c r="B112" s="317"/>
      <c r="C112" s="231">
        <v>22</v>
      </c>
      <c r="D112" s="4"/>
      <c r="E112" s="656">
        <f>IF(ISNA(VLOOKUP($E$101,'Val-Départ'!B22:W22,18,FALSE)),,VLOOKUP($E$101,'Val-Départ'!B22:W22,18,FALSE))</f>
        <v>0</v>
      </c>
      <c r="F112" s="657">
        <f>IF(ISNA(VLOOKUP($E$101,'Val-Départ'!Y22:AD22,6,FALSE)),,VLOOKUP($E$101,'Val-Départ'!Y22:AD22,6,FALSE))</f>
        <v>0</v>
      </c>
      <c r="G112" s="4"/>
      <c r="H112" s="655"/>
      <c r="K112" s="21"/>
      <c r="L112" s="4"/>
      <c r="M112" s="681">
        <f>IF(ISNA(VLOOKUP($M$101,'Val-Départ'!B44:AC44,35,FALSE)),,VLOOKUP($M$101,'Val-Départ'!B44:AC44,35,FALSE))</f>
        <v>0</v>
      </c>
      <c r="N112" s="660">
        <f>IF(ISNA(VLOOKUP($M$101,'Val-Départ'!AF44:AK44,6,FALSE)),,VLOOKUP($M$101,'Val-Départ'!AF44:AK44,6,FALSE))</f>
        <v>0</v>
      </c>
      <c r="O112" s="4"/>
      <c r="P112" s="231">
        <v>44</v>
      </c>
      <c r="Q112" s="21"/>
    </row>
    <row r="113" spans="1:22" s="737" customFormat="1" ht="15.75" thickBot="1">
      <c r="A113" s="21"/>
      <c r="B113" s="317"/>
      <c r="C113" s="231">
        <v>23</v>
      </c>
      <c r="D113" s="4"/>
      <c r="E113" s="656">
        <f>IF(ISNA(VLOOKUP($E$101,'Val-Départ'!B23:W23,18,FALSE)),,VLOOKUP($E$101,'Val-Départ'!B23:W23,18,FALSE))</f>
        <v>0</v>
      </c>
      <c r="F113" s="657">
        <f>IF(ISNA(VLOOKUP($E$101,'Val-Départ'!Y23:AD23,6,FALSE)),,VLOOKUP($E$101,'Val-Départ'!Y23:AD23,6,FALSE))</f>
        <v>0</v>
      </c>
      <c r="G113" s="4"/>
      <c r="H113" s="655"/>
      <c r="K113" s="21"/>
      <c r="L113" s="4"/>
      <c r="M113" s="681">
        <f>IF(ISNA(VLOOKUP($M$101,'Val-Départ'!B45:AC45,35,FALSE)),,VLOOKUP($M$101,'Val-Départ'!B45:AC45,35,FALSE))</f>
        <v>0</v>
      </c>
      <c r="N113" s="660">
        <f>IF(ISNA(VLOOKUP($M$101,'Val-Départ'!AF45:AK45,6,FALSE)),,VLOOKUP($M$101,'Val-Départ'!AF45:AK45,6,FALSE))</f>
        <v>0</v>
      </c>
      <c r="O113" s="4"/>
      <c r="P113" s="231"/>
      <c r="Q113" s="21"/>
    </row>
    <row r="114" spans="1:22">
      <c r="A114" s="21"/>
      <c r="B114" s="317"/>
      <c r="C114" s="4"/>
      <c r="D114" s="216"/>
      <c r="E114" s="311">
        <f>SUM(E102:E107)</f>
        <v>0</v>
      </c>
      <c r="F114" s="663">
        <f>SUM(F103:F107)</f>
        <v>0</v>
      </c>
      <c r="G114" s="216"/>
      <c r="H114" s="655"/>
      <c r="I114" s="628"/>
      <c r="J114" s="628"/>
      <c r="K114" s="21"/>
      <c r="L114" s="4"/>
      <c r="M114" s="311">
        <f>SUM(M103:M107)</f>
        <v>0</v>
      </c>
      <c r="N114" s="311">
        <f>SUM(N103:N107)</f>
        <v>0</v>
      </c>
      <c r="O114" s="216"/>
      <c r="P114" s="703"/>
      <c r="Q114" s="21"/>
      <c r="R114" s="628"/>
      <c r="S114" s="628"/>
      <c r="T114" s="628"/>
      <c r="U114" s="628"/>
      <c r="V114" s="628"/>
    </row>
    <row r="115" spans="1:22" ht="19.5" thickBot="1">
      <c r="A115" s="21"/>
      <c r="B115" s="317"/>
      <c r="C115" s="4"/>
      <c r="D115" s="4"/>
      <c r="E115" s="704">
        <f>E114-F114</f>
        <v>0</v>
      </c>
      <c r="F115" s="391" t="s">
        <v>458</v>
      </c>
      <c r="G115" s="391"/>
      <c r="H115" s="694"/>
      <c r="I115" s="628"/>
      <c r="J115" s="628"/>
      <c r="K115" s="21"/>
      <c r="L115" s="4"/>
      <c r="M115" s="4"/>
      <c r="N115" s="705">
        <f>(N114-M114)</f>
        <v>0</v>
      </c>
      <c r="O115" s="706" t="s">
        <v>260</v>
      </c>
      <c r="P115" s="317"/>
      <c r="Q115" s="21"/>
      <c r="R115" s="628"/>
      <c r="S115" s="628"/>
      <c r="T115" s="628"/>
      <c r="U115" s="628"/>
      <c r="V115" s="628"/>
    </row>
    <row r="116" spans="1:22" ht="15.75" thickBot="1">
      <c r="A116" s="21"/>
      <c r="B116" s="317"/>
      <c r="C116" s="21"/>
      <c r="D116" s="21"/>
      <c r="E116" s="712"/>
      <c r="F116" s="21"/>
      <c r="G116" s="21"/>
      <c r="H116" s="696"/>
      <c r="I116" s="628"/>
      <c r="J116" s="628"/>
      <c r="K116" s="21"/>
      <c r="L116" s="4"/>
      <c r="M116" s="21"/>
      <c r="N116" s="712"/>
      <c r="O116" s="21"/>
      <c r="P116" s="317"/>
      <c r="Q116" s="21"/>
      <c r="R116" s="628"/>
      <c r="S116" s="628"/>
      <c r="T116" s="628"/>
      <c r="U116" s="628"/>
      <c r="V116" s="628"/>
    </row>
    <row r="117" spans="1:22">
      <c r="A117" s="21"/>
      <c r="B117" s="317"/>
      <c r="C117" s="21"/>
      <c r="D117" s="21"/>
      <c r="E117" s="21"/>
      <c r="F117" s="21"/>
      <c r="G117" s="21"/>
      <c r="H117" s="696"/>
      <c r="I117" s="628"/>
      <c r="J117" s="628"/>
      <c r="K117" s="21"/>
      <c r="L117" s="216"/>
      <c r="M117" s="21"/>
      <c r="N117" s="21"/>
      <c r="O117" s="21"/>
      <c r="P117" s="317"/>
      <c r="Q117" s="21"/>
      <c r="R117" s="628"/>
      <c r="S117" s="628"/>
      <c r="T117" s="628"/>
      <c r="U117" s="628"/>
      <c r="V117" s="628"/>
    </row>
    <row r="118" spans="1:22" ht="19.5" thickBot="1">
      <c r="C118" s="661"/>
      <c r="D118" s="627"/>
      <c r="E118" s="725" t="s">
        <v>456</v>
      </c>
      <c r="F118" s="720"/>
      <c r="G118" s="721"/>
      <c r="H118" s="631"/>
      <c r="I118" s="4"/>
      <c r="J118" s="4"/>
      <c r="K118" s="21"/>
      <c r="L118" s="722"/>
      <c r="M118" s="725" t="s">
        <v>456</v>
      </c>
      <c r="N118" s="723"/>
      <c r="O118" s="724"/>
      <c r="P118" s="317"/>
      <c r="Q118" s="21"/>
    </row>
    <row r="119" spans="1:22" ht="15.75" thickBot="1">
      <c r="C119" s="631"/>
      <c r="D119" s="249" t="s">
        <v>263</v>
      </c>
      <c r="E119" s="639">
        <f t="array" ref="E119">INDEX('Val-Départ'!B$1:B$23,MIN(IF(COUNTIF('Liv-Four-client'!E$11:E118,'Val-Départ'!B$13:B$23)=0,ROW($13:$23))))</f>
        <v>0</v>
      </c>
      <c r="F119" s="640" t="str">
        <f>IFERROR(VLOOKUP($E$119,'Val-Départ'!$B$13:$D$23,2,FALSE),"")</f>
        <v/>
      </c>
      <c r="G119" s="249" t="s">
        <v>262</v>
      </c>
      <c r="H119" s="658"/>
      <c r="I119" s="4"/>
      <c r="J119" s="4"/>
      <c r="K119" s="21"/>
      <c r="L119" s="249" t="s">
        <v>263</v>
      </c>
      <c r="M119" s="639">
        <f t="array" ref="M119">INDEX('Val-Départ'!B$1:B$44,MIN(IF(COUNTIF('Liv-Four-client'!M$11:M118,'Val-Départ'!B$41:B$45)=0,ROW($41:$45))))</f>
        <v>0</v>
      </c>
      <c r="N119" s="640" t="str">
        <f>IFERROR(VLOOKUP($M$119,'Val-Départ'!$B$41:$D$45,2,FALSE),"")</f>
        <v/>
      </c>
      <c r="O119" s="249" t="s">
        <v>262</v>
      </c>
      <c r="P119" s="231"/>
      <c r="Q119" s="21"/>
    </row>
    <row r="120" spans="1:22">
      <c r="C120" s="4"/>
      <c r="D120" s="673" t="s">
        <v>278</v>
      </c>
      <c r="E120" s="647" t="str">
        <f>IFERROR(VLOOKUP($E$119,'Val-Départ'!$B$12:$D$19,3,FALSE),"")</f>
        <v/>
      </c>
      <c r="F120" s="674" t="s">
        <v>282</v>
      </c>
      <c r="G120" s="678"/>
      <c r="H120" s="655"/>
      <c r="I120" s="4"/>
      <c r="J120" s="4"/>
      <c r="K120" s="21"/>
      <c r="L120" s="678"/>
      <c r="M120" s="679" t="s">
        <v>279</v>
      </c>
      <c r="N120" s="647" t="str">
        <f>IFERROR(VLOOKUP($M$119,'Val-Départ'!$B$41:$D$45,3,FALSE),"")</f>
        <v/>
      </c>
      <c r="O120" s="673" t="s">
        <v>278</v>
      </c>
      <c r="P120" s="231"/>
      <c r="Q120" s="21"/>
    </row>
    <row r="121" spans="1:22">
      <c r="C121" s="231">
        <v>13</v>
      </c>
      <c r="D121" s="134"/>
      <c r="E121" s="656">
        <f>IF(ISNA(VLOOKUP($E$119,'Val-Départ'!B13:W13,18,FALSE)),,VLOOKUP($E$119,'Val-Départ'!B13:W13,18,FALSE))</f>
        <v>0</v>
      </c>
      <c r="F121" s="657">
        <f>IF(ISNA(VLOOKUP($E$119,'Val-Départ'!Y13:AD13,6,FALSE)),,VLOOKUP($E$119,'Val-Départ'!Y13:AD13,6,FALSE))</f>
        <v>0</v>
      </c>
      <c r="G121" s="4"/>
      <c r="H121" s="655"/>
      <c r="I121" s="4"/>
      <c r="J121" s="4"/>
      <c r="K121" s="21"/>
      <c r="L121" s="4"/>
      <c r="M121" s="681">
        <f>IF(ISNA(VLOOKUP($M$119,'Val-Départ'!B35:AC35,35,FALSE)),,VLOOKUP($M$119,'Val-Départ'!B35:AC35,35,FALSE))</f>
        <v>0</v>
      </c>
      <c r="N121" s="660">
        <f>IF(ISNA(VLOOKUP($M$119,'Val-Départ'!AF35:AK35,6,FALSE)),,VLOOKUP($M$119,'Val-Départ'!AF35:AK35,6,FALSE))</f>
        <v>0</v>
      </c>
      <c r="O121" s="134"/>
      <c r="P121" s="231">
        <v>35</v>
      </c>
      <c r="Q121" s="21"/>
    </row>
    <row r="122" spans="1:22">
      <c r="C122" s="231">
        <v>14</v>
      </c>
      <c r="D122" s="134"/>
      <c r="E122" s="656">
        <f>IF(ISNA(VLOOKUP($E$119,'Val-Départ'!B14:W14,18,FALSE)),,VLOOKUP($E$119,'Val-Départ'!B14:W14,18,FALSE))</f>
        <v>0</v>
      </c>
      <c r="F122" s="657">
        <f>IF(ISNA(VLOOKUP($E$119,'Val-Départ'!Y14:AD14,6,FALSE)),,VLOOKUP($E$119,'Val-Départ'!Y14:AD14,6,FALSE))</f>
        <v>0</v>
      </c>
      <c r="G122" s="4"/>
      <c r="H122" s="655"/>
      <c r="I122" s="628"/>
      <c r="J122" s="628"/>
      <c r="K122" s="21"/>
      <c r="L122" s="4"/>
      <c r="M122" s="681">
        <f>IF(ISNA(VLOOKUP($M$119,'Val-Départ'!B36:AC36,35,FALSE)),,VLOOKUP($M$119,'Val-Départ'!B36:AC36,35,FALSE))</f>
        <v>0</v>
      </c>
      <c r="N122" s="660">
        <f>IF(ISNA(VLOOKUP($M$119,'Val-Départ'!AF36:AK36,6,FALSE)),,VLOOKUP($M$119,'Val-Départ'!AF36:AK36,6,FALSE))</f>
        <v>0</v>
      </c>
      <c r="O122" s="134"/>
      <c r="P122" s="231">
        <v>36</v>
      </c>
      <c r="Q122" s="21"/>
    </row>
    <row r="123" spans="1:22">
      <c r="C123" s="231">
        <v>15</v>
      </c>
      <c r="D123" s="134"/>
      <c r="E123" s="656">
        <f>IF(ISNA(VLOOKUP($E$119,'Val-Départ'!B15:W15,18,FALSE)),,VLOOKUP($E$119,'Val-Départ'!B15:W15,18,FALSE))</f>
        <v>0</v>
      </c>
      <c r="F123" s="657">
        <f>IF(ISNA(VLOOKUP($E$119,'Val-Départ'!Y15:AD15,6,FALSE)),,VLOOKUP($E$119,'Val-Départ'!Y15:AD15,6,FALSE))</f>
        <v>0</v>
      </c>
      <c r="G123" s="4"/>
      <c r="H123" s="655"/>
      <c r="I123" s="628"/>
      <c r="J123" s="628"/>
      <c r="K123" s="21"/>
      <c r="L123" s="4"/>
      <c r="M123" s="681">
        <f>IF(ISNA(VLOOKUP($M$119,'Val-Départ'!B37:AC37,35,FALSE)),,VLOOKUP($M$119,'Val-Départ'!B37:AC37,35,FALSE))</f>
        <v>0</v>
      </c>
      <c r="N123" s="660">
        <f>IF(ISNA(VLOOKUP($M$119,'Val-Départ'!AF37:AK37,6,FALSE)),,VLOOKUP($M$119,'Val-Départ'!AF37:AK37,6,FALSE))</f>
        <v>0</v>
      </c>
      <c r="O123" s="134"/>
      <c r="P123" s="231">
        <v>37</v>
      </c>
      <c r="Q123" s="21"/>
    </row>
    <row r="124" spans="1:22">
      <c r="C124" s="231">
        <v>16</v>
      </c>
      <c r="D124" s="134"/>
      <c r="E124" s="656">
        <f>IF(ISNA(VLOOKUP($E$119,'Val-Départ'!B16:W16,18,FALSE)),,VLOOKUP($E$119,'Val-Départ'!B16:W16,18,FALSE))</f>
        <v>0</v>
      </c>
      <c r="F124" s="657">
        <f>IF(ISNA(VLOOKUP($E$119,'Val-Départ'!Y16:AD16,6,FALSE)),,VLOOKUP($E$119,'Val-Départ'!Y16:AD16,6,FALSE))</f>
        <v>0</v>
      </c>
      <c r="G124" s="4"/>
      <c r="H124" s="655"/>
      <c r="I124" s="628"/>
      <c r="J124" s="628"/>
      <c r="K124" s="21"/>
      <c r="L124" s="4"/>
      <c r="M124" s="681">
        <f>IF(ISNA(VLOOKUP($M$119,'Val-Départ'!B38:AC38,35,FALSE)),,VLOOKUP($M$119,'Val-Départ'!B38:AC38,35,FALSE))</f>
        <v>0</v>
      </c>
      <c r="N124" s="660">
        <f>IF(ISNA(VLOOKUP($M$119,'Val-Départ'!AF38:AK38,6,FALSE)),,VLOOKUP($M$119,'Val-Départ'!AF38:AK38,6,FALSE))</f>
        <v>0</v>
      </c>
      <c r="O124" s="134"/>
      <c r="P124" s="231">
        <v>38</v>
      </c>
      <c r="Q124" s="21"/>
    </row>
    <row r="125" spans="1:22">
      <c r="C125" s="231">
        <v>17</v>
      </c>
      <c r="D125" s="4"/>
      <c r="E125" s="656">
        <f>IF(ISNA(VLOOKUP($E$119,'Val-Départ'!B17:W17,18,FALSE)),,VLOOKUP($E$119,'Val-Départ'!B17:W17,18,FALSE))</f>
        <v>0</v>
      </c>
      <c r="F125" s="657">
        <f>IF(ISNA(VLOOKUP($E$119,'Val-Départ'!Y17:AD17,6,FALSE)),,VLOOKUP($E$119,'Val-Départ'!Y17:AD17,6,FALSE))</f>
        <v>0</v>
      </c>
      <c r="G125" s="4"/>
      <c r="H125" s="655"/>
      <c r="I125" s="628"/>
      <c r="J125" s="628"/>
      <c r="K125" s="21"/>
      <c r="L125" s="4"/>
      <c r="M125" s="681">
        <f>IF(ISNA(VLOOKUP($M$119,'Val-Départ'!B39:AC39,35,FALSE)),,VLOOKUP($M$119,'Val-Départ'!B39:AC39,35,FALSE))</f>
        <v>0</v>
      </c>
      <c r="N125" s="660">
        <f>IF(ISNA(VLOOKUP($M$119,'Val-Départ'!AF39:AK39,6,FALSE)),,VLOOKUP($M$119,'Val-Départ'!AF39:AK39,6,FALSE))</f>
        <v>0</v>
      </c>
      <c r="O125" s="4"/>
      <c r="P125" s="231">
        <v>39</v>
      </c>
      <c r="Q125" s="21"/>
    </row>
    <row r="126" spans="1:22" s="737" customFormat="1">
      <c r="C126" s="231">
        <v>18</v>
      </c>
      <c r="D126" s="4"/>
      <c r="E126" s="656">
        <f>IF(ISNA(VLOOKUP($E$119,'Val-Départ'!B18:W18,18,FALSE)),,VLOOKUP($E$119,'Val-Départ'!B18:W18,18,FALSE))</f>
        <v>0</v>
      </c>
      <c r="F126" s="657">
        <f>IF(ISNA(VLOOKUP($E$119,'Val-Départ'!Y18:AD18,6,FALSE)),,VLOOKUP($E$119,'Val-Départ'!Y18:AD18,6,FALSE))</f>
        <v>0</v>
      </c>
      <c r="G126" s="4"/>
      <c r="H126" s="655"/>
      <c r="K126" s="21"/>
      <c r="L126" s="4"/>
      <c r="M126" s="681">
        <f>IF(ISNA(VLOOKUP($M$119,'Val-Départ'!B40:AC40,35,FALSE)),,VLOOKUP($M$119,'Val-Départ'!B40:AC40,35,FALSE))</f>
        <v>0</v>
      </c>
      <c r="N126" s="660">
        <f>IF(ISNA(VLOOKUP($M$119,'Val-Départ'!AF40:AK40,6,FALSE)),,VLOOKUP($M$119,'Val-Départ'!AF40:AK40,6,FALSE))</f>
        <v>0</v>
      </c>
      <c r="O126" s="4"/>
      <c r="P126" s="231">
        <v>40</v>
      </c>
      <c r="Q126" s="21"/>
    </row>
    <row r="127" spans="1:22" s="737" customFormat="1">
      <c r="C127" s="231">
        <v>19</v>
      </c>
      <c r="D127" s="4"/>
      <c r="E127" s="656">
        <f>IF(ISNA(VLOOKUP($E$119,'Val-Départ'!B19:W19,18,FALSE)),,VLOOKUP($E$119,'Val-Départ'!B19:W19,18,FALSE))</f>
        <v>0</v>
      </c>
      <c r="F127" s="657">
        <f>IF(ISNA(VLOOKUP($E$119,'Val-Départ'!Y19:AD19,6,FALSE)),,VLOOKUP($E$119,'Val-Départ'!Y19:AD19,6,FALSE))</f>
        <v>0</v>
      </c>
      <c r="G127" s="4"/>
      <c r="H127" s="655"/>
      <c r="K127" s="21"/>
      <c r="L127" s="4"/>
      <c r="M127" s="681">
        <f>IF(ISNA(VLOOKUP($M$119,'Val-Départ'!B41:AC41,35,FALSE)),,VLOOKUP($M$119,'Val-Départ'!B41:AC41,35,FALSE))</f>
        <v>0</v>
      </c>
      <c r="N127" s="660">
        <f>IF(ISNA(VLOOKUP($M$119,'Val-Départ'!AF41:AK41,6,FALSE)),,VLOOKUP($M$119,'Val-Départ'!AF41:AK41,6,FALSE))</f>
        <v>0</v>
      </c>
      <c r="O127" s="4"/>
      <c r="P127" s="231">
        <v>41</v>
      </c>
      <c r="Q127" s="21"/>
    </row>
    <row r="128" spans="1:22" s="737" customFormat="1">
      <c r="C128" s="231">
        <v>20</v>
      </c>
      <c r="D128" s="4"/>
      <c r="E128" s="656">
        <f>IF(ISNA(VLOOKUP($E$119,'Val-Départ'!B20:W20,18,FALSE)),,VLOOKUP($E$119,'Val-Départ'!B20:W20,18,FALSE))</f>
        <v>0</v>
      </c>
      <c r="F128" s="657">
        <f>IF(ISNA(VLOOKUP($E$119,'Val-Départ'!Y20:AD20,6,FALSE)),,VLOOKUP($E$119,'Val-Départ'!Y20:AD20,6,FALSE))</f>
        <v>0</v>
      </c>
      <c r="G128" s="4"/>
      <c r="H128" s="655"/>
      <c r="K128" s="21"/>
      <c r="L128" s="4"/>
      <c r="M128" s="681">
        <f>IF(ISNA(VLOOKUP($M$119,'Val-Départ'!B42:AC42,35,FALSE)),,VLOOKUP($M$119,'Val-Départ'!B42:AC42,35,FALSE))</f>
        <v>0</v>
      </c>
      <c r="N128" s="660">
        <f>IF(ISNA(VLOOKUP($M$119,'Val-Départ'!AF42:AK42,6,FALSE)),,VLOOKUP($M$119,'Val-Départ'!AF42:AK42,6,FALSE))</f>
        <v>0</v>
      </c>
      <c r="O128" s="4"/>
      <c r="P128" s="231">
        <v>42</v>
      </c>
      <c r="Q128" s="21"/>
    </row>
    <row r="129" spans="3:17" s="737" customFormat="1">
      <c r="C129" s="231">
        <v>21</v>
      </c>
      <c r="D129" s="4"/>
      <c r="E129" s="656">
        <f>IF(ISNA(VLOOKUP($E$119,'Val-Départ'!B21:W21,18,FALSE)),,VLOOKUP($E$119,'Val-Départ'!B21:W21,18,FALSE))</f>
        <v>0</v>
      </c>
      <c r="F129" s="657">
        <f>IF(ISNA(VLOOKUP($E$119,'Val-Départ'!Y21:AD21,6,FALSE)),,VLOOKUP($E$119,'Val-Départ'!Y21:AD21,6,FALSE))</f>
        <v>0</v>
      </c>
      <c r="G129" s="4"/>
      <c r="H129" s="655"/>
      <c r="K129" s="21"/>
      <c r="L129" s="4"/>
      <c r="M129" s="681">
        <f>IF(ISNA(VLOOKUP($M$119,'Val-Départ'!B43:AC43,35,FALSE)),,VLOOKUP($M$119,'Val-Départ'!B43:AC43,35,FALSE))</f>
        <v>0</v>
      </c>
      <c r="N129" s="660">
        <f>IF(ISNA(VLOOKUP($M$119,'Val-Départ'!AF43:AK43,6,FALSE)),,VLOOKUP($M$119,'Val-Départ'!AF43:AK43,6,FALSE))</f>
        <v>0</v>
      </c>
      <c r="O129" s="4"/>
      <c r="P129" s="231">
        <v>43</v>
      </c>
      <c r="Q129" s="21"/>
    </row>
    <row r="130" spans="3:17" s="737" customFormat="1">
      <c r="C130" s="231">
        <v>22</v>
      </c>
      <c r="D130" s="4"/>
      <c r="E130" s="656">
        <f>IF(ISNA(VLOOKUP($E$119,'Val-Départ'!B22:W22,18,FALSE)),,VLOOKUP($E$119,'Val-Départ'!B22:W22,18,FALSE))</f>
        <v>0</v>
      </c>
      <c r="F130" s="657">
        <f>IF(ISNA(VLOOKUP($E$119,'Val-Départ'!Y22:AD22,6,FALSE)),,VLOOKUP($E$119,'Val-Départ'!Y22:AD22,6,FALSE))</f>
        <v>0</v>
      </c>
      <c r="G130" s="4"/>
      <c r="H130" s="655"/>
      <c r="K130" s="21"/>
      <c r="L130" s="4"/>
      <c r="M130" s="681">
        <f>IF(ISNA(VLOOKUP($M$119,'Val-Départ'!B44:AC44,35,FALSE)),,VLOOKUP($M$119,'Val-Départ'!B44:AC44,35,FALSE))</f>
        <v>0</v>
      </c>
      <c r="N130" s="660">
        <f>IF(ISNA(VLOOKUP($M$119,'Val-Départ'!AF44:AK44,6,FALSE)),,VLOOKUP($M$119,'Val-Départ'!AF44:AK44,6,FALSE))</f>
        <v>0</v>
      </c>
      <c r="O130" s="4"/>
      <c r="P130" s="231">
        <v>44</v>
      </c>
      <c r="Q130" s="21"/>
    </row>
    <row r="131" spans="3:17" s="737" customFormat="1" ht="15.75" thickBot="1">
      <c r="C131" s="231">
        <v>23</v>
      </c>
      <c r="D131" s="4"/>
      <c r="E131" s="656">
        <f>IF(ISNA(VLOOKUP($E$119,'Val-Départ'!B23:W23,18,FALSE)),,VLOOKUP($E$119,'Val-Départ'!B23:W23,18,FALSE))</f>
        <v>0</v>
      </c>
      <c r="F131" s="657">
        <f>IF(ISNA(VLOOKUP($E$119,'Val-Départ'!Y23:AD23,6,FALSE)),,VLOOKUP($E$119,'Val-Départ'!Y23:AD23,6,FALSE))</f>
        <v>0</v>
      </c>
      <c r="G131" s="4"/>
      <c r="H131" s="655"/>
      <c r="K131" s="21"/>
      <c r="L131" s="4"/>
      <c r="M131" s="681">
        <f>IF(ISNA(VLOOKUP($M$119,'Val-Départ'!B45:AC45,35,FALSE)),,VLOOKUP($M$119,'Val-Départ'!B45:AC45,35,FALSE))</f>
        <v>0</v>
      </c>
      <c r="N131" s="660">
        <f>IF(ISNA(VLOOKUP($M$119,'Val-Départ'!AF45:AK45,6,FALSE)),,VLOOKUP($M$119,'Val-Départ'!AF45:AK45,6,FALSE))</f>
        <v>0</v>
      </c>
      <c r="O131" s="4"/>
      <c r="P131" s="231"/>
      <c r="Q131" s="21"/>
    </row>
    <row r="132" spans="3:17">
      <c r="C132" s="4"/>
      <c r="D132" s="216"/>
      <c r="E132" s="311">
        <f>SUM(E120:E125)</f>
        <v>0</v>
      </c>
      <c r="F132" s="663">
        <f>SUM(F121:F125)</f>
        <v>0</v>
      </c>
      <c r="G132" s="216"/>
      <c r="H132" s="655"/>
      <c r="I132" s="628"/>
      <c r="J132" s="628"/>
      <c r="K132" s="21"/>
      <c r="L132" s="4"/>
      <c r="M132" s="311">
        <f>SUM(M121:M125)</f>
        <v>0</v>
      </c>
      <c r="N132" s="311">
        <f>SUM(N121:N125)</f>
        <v>0</v>
      </c>
      <c r="O132" s="216"/>
      <c r="P132" s="703"/>
      <c r="Q132" s="21"/>
    </row>
    <row r="133" spans="3:17" ht="19.5" thickBot="1">
      <c r="C133" s="4"/>
      <c r="D133" s="4"/>
      <c r="E133" s="704">
        <f>E132-F132</f>
        <v>0</v>
      </c>
      <c r="F133" s="391" t="s">
        <v>459</v>
      </c>
      <c r="G133" s="391"/>
      <c r="H133" s="694"/>
      <c r="I133" s="628"/>
      <c r="J133" s="628"/>
      <c r="K133" s="21"/>
      <c r="L133" s="4"/>
      <c r="M133" s="4"/>
      <c r="N133" s="705">
        <f>(N132-M132)</f>
        <v>0</v>
      </c>
      <c r="O133" s="706" t="s">
        <v>260</v>
      </c>
      <c r="P133" s="317"/>
      <c r="Q133" s="21"/>
    </row>
    <row r="135" spans="3:17" ht="19.5" thickBot="1">
      <c r="C135" s="661"/>
      <c r="D135" s="627"/>
      <c r="E135" s="725" t="s">
        <v>456</v>
      </c>
      <c r="F135" s="720"/>
      <c r="G135" s="721"/>
      <c r="H135" s="631"/>
      <c r="I135" s="4"/>
      <c r="J135" s="4"/>
      <c r="K135" s="21"/>
      <c r="L135" s="722"/>
      <c r="M135" s="725" t="s">
        <v>456</v>
      </c>
      <c r="N135" s="723"/>
      <c r="O135" s="724"/>
      <c r="P135" s="317"/>
    </row>
    <row r="136" spans="3:17" ht="15.75" thickBot="1">
      <c r="C136" s="631"/>
      <c r="D136" s="249" t="s">
        <v>263</v>
      </c>
      <c r="E136" s="639">
        <f t="array" ref="E136">INDEX('Val-Départ'!B$1:B$26,MIN(IF(COUNTIF('Liv-Four-client'!E$11:E135,'Val-Départ'!B$13:B$23)=0,ROW($13:$23))))</f>
        <v>0</v>
      </c>
      <c r="F136" s="640" t="str">
        <f>IFERROR(VLOOKUP($E$136,'Val-Départ'!$B$12:$D$26,2,FALSE),"")</f>
        <v/>
      </c>
      <c r="G136" s="249" t="s">
        <v>262</v>
      </c>
      <c r="H136" s="658"/>
      <c r="I136" s="4"/>
      <c r="J136" s="4"/>
      <c r="K136" s="21"/>
      <c r="L136" s="249" t="s">
        <v>263</v>
      </c>
      <c r="M136" s="639">
        <f t="array" ref="M136">INDEX('Val-Départ'!B$1:B$44,MIN(IF(COUNTIF('Liv-Four-client'!M$11:M135,'Val-Départ'!B$42:B$45)=0,ROW($42:$45))))</f>
        <v>0</v>
      </c>
      <c r="N136" s="640" t="str">
        <f>IFERROR(VLOOKUP($M$136,'Val-Départ'!$B$42:$D$45,2,FALSE),"")</f>
        <v/>
      </c>
      <c r="O136" s="249" t="s">
        <v>262</v>
      </c>
      <c r="P136" s="231"/>
    </row>
    <row r="137" spans="3:17">
      <c r="C137" s="4"/>
      <c r="D137" s="673" t="s">
        <v>278</v>
      </c>
      <c r="E137" s="647" t="str">
        <f>IFERROR(VLOOKUP($E$136,'Val-Départ'!$B$12:$D$26,3,FALSE),"")</f>
        <v/>
      </c>
      <c r="F137" s="674" t="s">
        <v>282</v>
      </c>
      <c r="G137" s="678"/>
      <c r="H137" s="655"/>
      <c r="I137" s="4"/>
      <c r="J137" s="4"/>
      <c r="K137" s="21"/>
      <c r="L137" s="678"/>
      <c r="M137" s="679" t="s">
        <v>279</v>
      </c>
      <c r="N137" s="647" t="str">
        <f>IFERROR(VLOOKUP($M$136,'Val-Départ'!$B$42:$D$45,3,FALSE),"")</f>
        <v/>
      </c>
      <c r="O137" s="673" t="s">
        <v>278</v>
      </c>
      <c r="P137" s="231"/>
    </row>
    <row r="138" spans="3:17">
      <c r="C138" s="231">
        <v>13</v>
      </c>
      <c r="D138" s="134"/>
      <c r="E138" s="656">
        <f>IF(ISNA(VLOOKUP($E$136,'Val-Départ'!B13:W13,18,FALSE)),,VLOOKUP($E$136,'Val-Départ'!B13:W13,18,FALSE))</f>
        <v>0</v>
      </c>
      <c r="F138" s="657">
        <f>IF(ISNA(VLOOKUP($E$136,'Val-Départ'!Y13:AD13,6,FALSE)),,VLOOKUP($E$136,'Val-Départ'!Y13:AD13,6,FALSE))</f>
        <v>0</v>
      </c>
      <c r="G138" s="4"/>
      <c r="H138" s="655"/>
      <c r="I138" s="4"/>
      <c r="J138" s="4"/>
      <c r="K138" s="21"/>
      <c r="L138" s="4"/>
      <c r="M138" s="681">
        <f>IF(ISNA(VLOOKUP($M$136,'Val-Départ'!B35:AC35,35,FALSE)),,VLOOKUP($M$136,'Val-Départ'!B35:AC35,35,FALSE))</f>
        <v>0</v>
      </c>
      <c r="N138" s="660">
        <f>IF(ISNA(VLOOKUP($M$136,'Val-Départ'!AF35:AK35,6,FALSE)),,VLOOKUP($M$136,'Val-Départ'!AF35:AK35,6,FALSE))</f>
        <v>0</v>
      </c>
      <c r="O138" s="134"/>
      <c r="P138" s="231">
        <v>35</v>
      </c>
    </row>
    <row r="139" spans="3:17">
      <c r="C139" s="231">
        <v>14</v>
      </c>
      <c r="D139" s="134"/>
      <c r="E139" s="656">
        <f>IF(ISNA(VLOOKUP($E$136,'Val-Départ'!B14:W14,18,FALSE)),,VLOOKUP($E$136,'Val-Départ'!B14:W14,18,FALSE))</f>
        <v>0</v>
      </c>
      <c r="F139" s="657">
        <f>IF(ISNA(VLOOKUP($E$136,'Val-Départ'!Y14:AD14,6,FALSE)),,VLOOKUP($E$136,'Val-Départ'!Y14:AD14,6,FALSE))</f>
        <v>0</v>
      </c>
      <c r="G139" s="4"/>
      <c r="H139" s="655"/>
      <c r="I139" s="628"/>
      <c r="J139" s="628"/>
      <c r="K139" s="21"/>
      <c r="L139" s="4"/>
      <c r="M139" s="681">
        <f>IF(ISNA(VLOOKUP($M$136,'Val-Départ'!B36:AC36,35,FALSE)),,VLOOKUP($M$136,'Val-Départ'!B36:AC36,35,FALSE))</f>
        <v>0</v>
      </c>
      <c r="N139" s="660">
        <f>IF(ISNA(VLOOKUP($M$136,'Val-Départ'!AF36:AK36,6,FALSE)),,VLOOKUP($M$136,'Val-Départ'!AF36:AK36,6,FALSE))</f>
        <v>0</v>
      </c>
      <c r="O139" s="134"/>
      <c r="P139" s="231">
        <v>36</v>
      </c>
    </row>
    <row r="140" spans="3:17">
      <c r="C140" s="231">
        <v>15</v>
      </c>
      <c r="D140" s="134"/>
      <c r="E140" s="656">
        <f>IF(ISNA(VLOOKUP($E$136,'Val-Départ'!B15:W15,18,FALSE)),,VLOOKUP($E$136,'Val-Départ'!B15:W15,18,FALSE))</f>
        <v>0</v>
      </c>
      <c r="F140" s="657">
        <f>IF(ISNA(VLOOKUP($E$136,'Val-Départ'!Y15:AD15,6,FALSE)),,VLOOKUP($E$136,'Val-Départ'!Y15:AD15,6,FALSE))</f>
        <v>0</v>
      </c>
      <c r="G140" s="4"/>
      <c r="H140" s="655"/>
      <c r="I140" s="628"/>
      <c r="J140" s="628"/>
      <c r="K140" s="21"/>
      <c r="L140" s="4"/>
      <c r="M140" s="681">
        <f>IF(ISNA(VLOOKUP($M$136,'Val-Départ'!B37:AC37,35,FALSE)),,VLOOKUP($M$136,'Val-Départ'!B37:AC37,35,FALSE))</f>
        <v>0</v>
      </c>
      <c r="N140" s="660">
        <f>IF(ISNA(VLOOKUP($M$136,'Val-Départ'!AF37:AK37,6,FALSE)),,VLOOKUP($M$136,'Val-Départ'!AF37:AK37,6,FALSE))</f>
        <v>0</v>
      </c>
      <c r="O140" s="134"/>
      <c r="P140" s="231">
        <v>37</v>
      </c>
    </row>
    <row r="141" spans="3:17">
      <c r="C141" s="231">
        <v>16</v>
      </c>
      <c r="D141" s="134"/>
      <c r="E141" s="656">
        <f>IF(ISNA(VLOOKUP($E$136,'Val-Départ'!B16:W16,18,FALSE)),,VLOOKUP($E$136,'Val-Départ'!B16:W16,18,FALSE))</f>
        <v>0</v>
      </c>
      <c r="F141" s="657">
        <f>IF(ISNA(VLOOKUP($E$136,'Val-Départ'!Y16:AD16,6,FALSE)),,VLOOKUP($E$136,'Val-Départ'!Y16:AD16,6,FALSE))</f>
        <v>0</v>
      </c>
      <c r="G141" s="4"/>
      <c r="H141" s="655"/>
      <c r="I141" s="628"/>
      <c r="J141" s="628"/>
      <c r="K141" s="21"/>
      <c r="L141" s="4"/>
      <c r="M141" s="681">
        <f>IF(ISNA(VLOOKUP($M$136,'Val-Départ'!B38:AC38,35,FALSE)),,VLOOKUP($M$136,'Val-Départ'!B38:AC38,35,FALSE))</f>
        <v>0</v>
      </c>
      <c r="N141" s="660">
        <f>IF(ISNA(VLOOKUP($M$136,'Val-Départ'!AF38:AK38,6,FALSE)),,VLOOKUP($M$136,'Val-Départ'!AF38:AK38,6,FALSE))</f>
        <v>0</v>
      </c>
      <c r="O141" s="134"/>
      <c r="P141" s="231">
        <v>38</v>
      </c>
    </row>
    <row r="142" spans="3:17">
      <c r="C142" s="231">
        <v>17</v>
      </c>
      <c r="D142" s="4"/>
      <c r="E142" s="656">
        <f>IF(ISNA(VLOOKUP($E$136,'Val-Départ'!B17:W17,18,FALSE)),,VLOOKUP($E$136,'Val-Départ'!B17:W17,18,FALSE))</f>
        <v>0</v>
      </c>
      <c r="F142" s="657">
        <f>IF(ISNA(VLOOKUP($E$136,'Val-Départ'!Y17:AD17,6,FALSE)),,VLOOKUP($E$136,'Val-Départ'!Y17:AD17,6,FALSE))</f>
        <v>0</v>
      </c>
      <c r="G142" s="4"/>
      <c r="H142" s="655"/>
      <c r="I142" s="628"/>
      <c r="J142" s="628"/>
      <c r="K142" s="21"/>
      <c r="L142" s="4"/>
      <c r="M142" s="681">
        <f>IF(ISNA(VLOOKUP($M$136,'Val-Départ'!B39:AC39,35,FALSE)),,VLOOKUP($M$136,'Val-Départ'!B39:AC39,35,FALSE))</f>
        <v>0</v>
      </c>
      <c r="N142" s="660">
        <f>IF(ISNA(VLOOKUP($M$136,'Val-Départ'!AF39:AK39,6,FALSE)),,VLOOKUP($M$136,'Val-Départ'!AF39:AK39,6,FALSE))</f>
        <v>0</v>
      </c>
      <c r="O142" s="4"/>
      <c r="P142" s="231">
        <v>39</v>
      </c>
    </row>
    <row r="143" spans="3:17" s="737" customFormat="1">
      <c r="C143" s="231">
        <v>18</v>
      </c>
      <c r="D143" s="4"/>
      <c r="E143" s="656">
        <f>IF(ISNA(VLOOKUP($E$136,'Val-Départ'!B18:W18,18,FALSE)),,VLOOKUP($E$136,'Val-Départ'!B18:W18,18,FALSE))</f>
        <v>0</v>
      </c>
      <c r="F143" s="657">
        <f>IF(ISNA(VLOOKUP($E$136,'Val-Départ'!Y18:AD18,6,FALSE)),,VLOOKUP($E$136,'Val-Départ'!Y18:AD18,6,FALSE))</f>
        <v>0</v>
      </c>
      <c r="G143" s="4"/>
      <c r="H143" s="655"/>
      <c r="K143" s="21"/>
      <c r="L143" s="4"/>
      <c r="M143" s="681">
        <f>IF(ISNA(VLOOKUP($M$136,'Val-Départ'!B40:AC40,35,FALSE)),,VLOOKUP($M$136,'Val-Départ'!B40:AC40,35,FALSE))</f>
        <v>0</v>
      </c>
      <c r="N143" s="660">
        <f>IF(ISNA(VLOOKUP($M$136,'Val-Départ'!AF40:AK40,6,FALSE)),,VLOOKUP($M$136,'Val-Départ'!AF40:AK40,6,FALSE))</f>
        <v>0</v>
      </c>
      <c r="O143" s="4"/>
      <c r="P143" s="231">
        <v>40</v>
      </c>
    </row>
    <row r="144" spans="3:17" s="737" customFormat="1">
      <c r="C144" s="231">
        <v>19</v>
      </c>
      <c r="D144" s="4"/>
      <c r="E144" s="656">
        <f>IF(ISNA(VLOOKUP($E$136,'Val-Départ'!B19:W19,18,FALSE)),,VLOOKUP($E$136,'Val-Départ'!B19:W19,18,FALSE))</f>
        <v>0</v>
      </c>
      <c r="F144" s="657">
        <f>IF(ISNA(VLOOKUP($E$136,'Val-Départ'!Y19:AD19,6,FALSE)),,VLOOKUP($E$136,'Val-Départ'!Y19:AD19,6,FALSE))</f>
        <v>0</v>
      </c>
      <c r="G144" s="4"/>
      <c r="H144" s="655"/>
      <c r="K144" s="21"/>
      <c r="L144" s="4"/>
      <c r="M144" s="681">
        <f>IF(ISNA(VLOOKUP($M$136,'Val-Départ'!B41:AC41,35,FALSE)),,VLOOKUP($M$136,'Val-Départ'!B41:AC41,35,FALSE))</f>
        <v>0</v>
      </c>
      <c r="N144" s="660">
        <f>IF(ISNA(VLOOKUP($M$136,'Val-Départ'!AF41:AK41,6,FALSE)),,VLOOKUP($M$136,'Val-Départ'!AF41:AK41,6,FALSE))</f>
        <v>0</v>
      </c>
      <c r="O144" s="4"/>
      <c r="P144" s="231">
        <v>41</v>
      </c>
    </row>
    <row r="145" spans="3:16" s="737" customFormat="1">
      <c r="C145" s="231">
        <v>20</v>
      </c>
      <c r="D145" s="4"/>
      <c r="E145" s="656">
        <f>IF(ISNA(VLOOKUP($E$136,'Val-Départ'!B20:W20,18,FALSE)),,VLOOKUP($E$136,'Val-Départ'!B20:W20,18,FALSE))</f>
        <v>0</v>
      </c>
      <c r="F145" s="657">
        <f>IF(ISNA(VLOOKUP($E$136,'Val-Départ'!Y20:AD20,6,FALSE)),,VLOOKUP($E$136,'Val-Départ'!Y20:AD20,6,FALSE))</f>
        <v>0</v>
      </c>
      <c r="G145" s="4"/>
      <c r="H145" s="655"/>
      <c r="K145" s="21"/>
      <c r="L145" s="4"/>
      <c r="M145" s="681">
        <f>IF(ISNA(VLOOKUP($M$136,'Val-Départ'!B42:AC42,35,FALSE)),,VLOOKUP($M$136,'Val-Départ'!B42:AC42,35,FALSE))</f>
        <v>0</v>
      </c>
      <c r="N145" s="660">
        <f>IF(ISNA(VLOOKUP($M$136,'Val-Départ'!AF42:AK42,6,FALSE)),,VLOOKUP($M$136,'Val-Départ'!AF42:AK42,6,FALSE))</f>
        <v>0</v>
      </c>
      <c r="O145" s="4"/>
      <c r="P145" s="231">
        <v>42</v>
      </c>
    </row>
    <row r="146" spans="3:16" s="737" customFormat="1">
      <c r="C146" s="231">
        <v>21</v>
      </c>
      <c r="D146" s="4"/>
      <c r="E146" s="656">
        <f>IF(ISNA(VLOOKUP($E$136,'Val-Départ'!B21:W21,18,FALSE)),,VLOOKUP($E$136,'Val-Départ'!B21:W21,18,FALSE))</f>
        <v>0</v>
      </c>
      <c r="F146" s="657">
        <f>IF(ISNA(VLOOKUP($E$136,'Val-Départ'!Y21:AD21,6,FALSE)),,VLOOKUP($E$136,'Val-Départ'!Y21:AD21,6,FALSE))</f>
        <v>0</v>
      </c>
      <c r="G146" s="4"/>
      <c r="H146" s="655"/>
      <c r="K146" s="21"/>
      <c r="L146" s="4"/>
      <c r="M146" s="681">
        <f>IF(ISNA(VLOOKUP($M$136,'Val-Départ'!B43:AC43,35,FALSE)),,VLOOKUP($M$136,'Val-Départ'!B43:AC43,35,FALSE))</f>
        <v>0</v>
      </c>
      <c r="N146" s="660">
        <f>IF(ISNA(VLOOKUP($M$136,'Val-Départ'!AF43:AK43,6,FALSE)),,VLOOKUP($M$136,'Val-Départ'!AF43:AK43,6,FALSE))</f>
        <v>0</v>
      </c>
      <c r="O146" s="4"/>
      <c r="P146" s="231">
        <v>43</v>
      </c>
    </row>
    <row r="147" spans="3:16" s="737" customFormat="1">
      <c r="C147" s="231">
        <v>22</v>
      </c>
      <c r="D147" s="4"/>
      <c r="E147" s="656">
        <f>IF(ISNA(VLOOKUP($E$136,'Val-Départ'!B22:W22,18,FALSE)),,VLOOKUP($E$136,'Val-Départ'!B22:W22,18,FALSE))</f>
        <v>0</v>
      </c>
      <c r="F147" s="657">
        <f>IF(ISNA(VLOOKUP($E$136,'Val-Départ'!Y22:AD22,6,FALSE)),,VLOOKUP($E$136,'Val-Départ'!Y22:AD22,6,FALSE))</f>
        <v>0</v>
      </c>
      <c r="G147" s="4"/>
      <c r="H147" s="655"/>
      <c r="K147" s="21"/>
      <c r="L147" s="4"/>
      <c r="M147" s="681">
        <f>IF(ISNA(VLOOKUP($M$136,'Val-Départ'!B44:AC44,35,FALSE)),,VLOOKUP($M$136,'Val-Départ'!B44:AC44,35,FALSE))</f>
        <v>0</v>
      </c>
      <c r="N147" s="660">
        <f>IF(ISNA(VLOOKUP($M$136,'Val-Départ'!AF44:AK44,6,FALSE)),,VLOOKUP($M$136,'Val-Départ'!AF44:AK44,6,FALSE))</f>
        <v>0</v>
      </c>
      <c r="O147" s="4"/>
      <c r="P147" s="231">
        <v>44</v>
      </c>
    </row>
    <row r="148" spans="3:16" s="737" customFormat="1" ht="15.75" thickBot="1">
      <c r="C148" s="231">
        <v>23</v>
      </c>
      <c r="D148" s="4"/>
      <c r="E148" s="656">
        <f>IF(ISNA(VLOOKUP($E$136,'Val-Départ'!B23:W23,18,FALSE)),,VLOOKUP($E$136,'Val-Départ'!B23:W23,18,FALSE))</f>
        <v>0</v>
      </c>
      <c r="F148" s="657">
        <f>IF(ISNA(VLOOKUP($E$136,'Val-Départ'!Y23:AD23,6,FALSE)),,VLOOKUP($E$136,'Val-Départ'!Y23:AD23,6,FALSE))</f>
        <v>0</v>
      </c>
      <c r="G148" s="4"/>
      <c r="H148" s="655"/>
      <c r="K148" s="21"/>
      <c r="L148" s="4"/>
      <c r="M148" s="681">
        <f>IF(ISNA(VLOOKUP($M$136,'Val-Départ'!B45:AC45,35,FALSE)),,VLOOKUP($M$136,'Val-Départ'!B45:AC45,35,FALSE))</f>
        <v>0</v>
      </c>
      <c r="N148" s="660">
        <f>IF(ISNA(VLOOKUP($M$136,'Val-Départ'!AF45:AK45,6,FALSE)),,VLOOKUP($M$136,'Val-Départ'!AF45:AK45,6,FALSE))</f>
        <v>0</v>
      </c>
      <c r="O148" s="4"/>
      <c r="P148" s="231"/>
    </row>
    <row r="149" spans="3:16">
      <c r="C149" s="4"/>
      <c r="D149" s="216"/>
      <c r="E149" s="311">
        <f>SUM(E137:E142)</f>
        <v>0</v>
      </c>
      <c r="F149" s="663">
        <f>SUM(F138:F142)</f>
        <v>0</v>
      </c>
      <c r="G149" s="216"/>
      <c r="H149" s="655"/>
      <c r="I149" s="628"/>
      <c r="J149" s="628"/>
      <c r="K149" s="21"/>
      <c r="L149" s="4"/>
      <c r="M149" s="311">
        <f>SUM(M138:M142)</f>
        <v>0</v>
      </c>
      <c r="N149" s="311">
        <f>SUM(N138:N142)</f>
        <v>0</v>
      </c>
      <c r="O149" s="216"/>
      <c r="P149" s="703"/>
    </row>
    <row r="150" spans="3:16" ht="19.5" thickBot="1">
      <c r="C150" s="4"/>
      <c r="D150" s="4"/>
      <c r="E150" s="704">
        <f>E149-F149</f>
        <v>0</v>
      </c>
      <c r="F150" s="391" t="s">
        <v>460</v>
      </c>
      <c r="G150" s="391"/>
      <c r="H150" s="694"/>
      <c r="I150" s="628"/>
      <c r="J150" s="628"/>
      <c r="K150" s="21"/>
      <c r="L150" s="4"/>
      <c r="M150" s="4"/>
      <c r="N150" s="705">
        <f>(N149-M149)</f>
        <v>0</v>
      </c>
      <c r="O150" s="706" t="s">
        <v>260</v>
      </c>
      <c r="P150" s="317"/>
    </row>
    <row r="153" spans="3:16" ht="19.5" thickBot="1">
      <c r="C153" s="661"/>
      <c r="D153" s="627"/>
      <c r="E153" s="725" t="s">
        <v>456</v>
      </c>
      <c r="F153" s="720"/>
      <c r="G153" s="721"/>
      <c r="H153" s="631"/>
      <c r="I153" s="4"/>
      <c r="J153" s="4"/>
      <c r="K153" s="21"/>
      <c r="L153" s="722"/>
      <c r="M153" s="725" t="s">
        <v>456</v>
      </c>
      <c r="N153" s="723"/>
      <c r="O153" s="724"/>
      <c r="P153" s="317"/>
    </row>
    <row r="154" spans="3:16" ht="15.75" thickBot="1">
      <c r="C154" s="631"/>
      <c r="D154" s="249" t="s">
        <v>263</v>
      </c>
      <c r="E154" s="639">
        <f t="array" ref="E154">INDEX('Val-Départ'!B$1:B$26,MIN(IF(COUNTIF('Liv-Four-client'!E$11:E153,'Val-Départ'!B$21:B$26)=0,ROW($21:$26))))</f>
        <v>0</v>
      </c>
      <c r="F154" s="640" t="str">
        <f>IFERROR(VLOOKUP($E$154,'Val-Départ'!$B$12:$D$26,2,FALSE),"")</f>
        <v/>
      </c>
      <c r="G154" s="249" t="s">
        <v>262</v>
      </c>
      <c r="H154" s="658"/>
      <c r="I154" s="4"/>
      <c r="J154" s="4"/>
      <c r="K154" s="21"/>
      <c r="L154" s="249" t="s">
        <v>263</v>
      </c>
      <c r="M154" s="639">
        <f t="array" ref="M154">INDEX('Val-Départ'!B$1:B$44,MIN(IF(COUNTIF('Liv-Four-client'!M$11:M153,'Val-Départ'!B$43:B$45)=0,ROW($43:$45))))</f>
        <v>0</v>
      </c>
      <c r="N154" s="640" t="str">
        <f>IFERROR(VLOOKUP($M$154,'Val-Départ'!$B$43:$D$45,2,FALSE),"")</f>
        <v/>
      </c>
      <c r="O154" s="249" t="s">
        <v>262</v>
      </c>
      <c r="P154" s="231"/>
    </row>
    <row r="155" spans="3:16">
      <c r="C155" s="4"/>
      <c r="D155" s="673" t="s">
        <v>278</v>
      </c>
      <c r="E155" s="647" t="str">
        <f>IFERROR(VLOOKUP($E$154,'Val-Départ'!$B$12:$D$26,3,FALSE),"")</f>
        <v/>
      </c>
      <c r="F155" s="674" t="s">
        <v>282</v>
      </c>
      <c r="G155" s="678"/>
      <c r="H155" s="655"/>
      <c r="I155" s="4"/>
      <c r="J155" s="4"/>
      <c r="K155" s="21"/>
      <c r="L155" s="678"/>
      <c r="M155" s="679" t="s">
        <v>279</v>
      </c>
      <c r="N155" s="647" t="str">
        <f>IFERROR(VLOOKUP($M$154,'Val-Départ'!$B$43:$D$45,3,FALSE),"")</f>
        <v/>
      </c>
      <c r="O155" s="673" t="s">
        <v>278</v>
      </c>
      <c r="P155" s="231"/>
    </row>
    <row r="156" spans="3:16">
      <c r="C156" s="231">
        <v>13</v>
      </c>
      <c r="D156" s="134"/>
      <c r="E156" s="656">
        <f>IF(ISNA(VLOOKUP($E$154,'Val-Départ'!B13:W13,18,FALSE)),,VLOOKUP($E$154,'Val-Départ'!B13:W13,18,FALSE))</f>
        <v>0</v>
      </c>
      <c r="F156" s="657">
        <f>IF(ISNA(VLOOKUP($E$154,'Val-Départ'!Y13:AD13,6,FALSE)),,VLOOKUP($E$154,'Val-Départ'!Y13:AD13,6,FALSE))</f>
        <v>0</v>
      </c>
      <c r="G156" s="4"/>
      <c r="H156" s="655"/>
      <c r="I156" s="4"/>
      <c r="J156" s="4"/>
      <c r="K156" s="21"/>
      <c r="L156" s="4"/>
      <c r="M156" s="681">
        <f>IF(ISNA(VLOOKUP($M$154,'Val-Départ'!B35:AC35,35,FALSE)),,VLOOKUP($M$154,'Val-Départ'!B35:AC35,35,FALSE))</f>
        <v>0</v>
      </c>
      <c r="N156" s="660">
        <f>IF(ISNA(VLOOKUP($M$154,'Val-Départ'!AF35:AK35,6,FALSE)),,VLOOKUP($M$154,'Val-Départ'!AF35:AK35,6,FALSE))</f>
        <v>0</v>
      </c>
      <c r="O156" s="134"/>
      <c r="P156" s="231">
        <v>35</v>
      </c>
    </row>
    <row r="157" spans="3:16">
      <c r="C157" s="231">
        <v>14</v>
      </c>
      <c r="D157" s="134"/>
      <c r="E157" s="656">
        <f>IF(ISNA(VLOOKUP($E$154,'Val-Départ'!B14:W14,18,FALSE)),,VLOOKUP($E$154,'Val-Départ'!B14:W14,18,FALSE))</f>
        <v>0</v>
      </c>
      <c r="F157" s="657">
        <f>IF(ISNA(VLOOKUP($E$154,'Val-Départ'!Y14:AD14,6,FALSE)),,VLOOKUP($E$154,'Val-Départ'!Y14:AD14,6,FALSE))</f>
        <v>0</v>
      </c>
      <c r="G157" s="4"/>
      <c r="H157" s="655"/>
      <c r="I157" s="628"/>
      <c r="J157" s="628"/>
      <c r="K157" s="21"/>
      <c r="L157" s="4"/>
      <c r="M157" s="681">
        <f>IF(ISNA(VLOOKUP($M$154,'Val-Départ'!B36:AC36,35,FALSE)),,VLOOKUP($M$154,'Val-Départ'!B36:AC36,35,FALSE))</f>
        <v>0</v>
      </c>
      <c r="N157" s="660">
        <f>IF(ISNA(VLOOKUP($M$154,'Val-Départ'!AF36:AK36,6,FALSE)),,VLOOKUP($M$154,'Val-Départ'!AF36:AK36,6,FALSE))</f>
        <v>0</v>
      </c>
      <c r="O157" s="134"/>
      <c r="P157" s="231">
        <v>36</v>
      </c>
    </row>
    <row r="158" spans="3:16">
      <c r="C158" s="231">
        <v>15</v>
      </c>
      <c r="D158" s="134"/>
      <c r="E158" s="656">
        <f>IF(ISNA(VLOOKUP($E$154,'Val-Départ'!B15:W15,18,FALSE)),,VLOOKUP($E$154,'Val-Départ'!B15:W15,18,FALSE))</f>
        <v>0</v>
      </c>
      <c r="F158" s="657">
        <f>IF(ISNA(VLOOKUP($E$154,'Val-Départ'!Y15:AD15,6,FALSE)),,VLOOKUP($E$154,'Val-Départ'!Y15:AD15,6,FALSE))</f>
        <v>0</v>
      </c>
      <c r="G158" s="4"/>
      <c r="H158" s="655"/>
      <c r="I158" s="628"/>
      <c r="J158" s="628"/>
      <c r="K158" s="21"/>
      <c r="L158" s="4"/>
      <c r="M158" s="681">
        <f>IF(ISNA(VLOOKUP($M$154,'Val-Départ'!B37:AC37,35,FALSE)),,VLOOKUP($M$154,'Val-Départ'!B37:AC37,35,FALSE))</f>
        <v>0</v>
      </c>
      <c r="N158" s="660">
        <f>IF(ISNA(VLOOKUP($M$154,'Val-Départ'!AF37:AK37,6,FALSE)),,VLOOKUP($M$154,'Val-Départ'!AF37:AK37,6,FALSE))</f>
        <v>0</v>
      </c>
      <c r="O158" s="134"/>
      <c r="P158" s="231">
        <v>37</v>
      </c>
    </row>
    <row r="159" spans="3:16">
      <c r="C159" s="231">
        <v>16</v>
      </c>
      <c r="D159" s="134"/>
      <c r="E159" s="656">
        <f>IF(ISNA(VLOOKUP($E$154,'Val-Départ'!B16:W16,18,FALSE)),,VLOOKUP($E$154,'Val-Départ'!B16:W16,18,FALSE))</f>
        <v>0</v>
      </c>
      <c r="F159" s="657">
        <f>IF(ISNA(VLOOKUP($E$154,'Val-Départ'!Y16:AD16,6,FALSE)),,VLOOKUP($E$154,'Val-Départ'!Y16:AD16,6,FALSE))</f>
        <v>0</v>
      </c>
      <c r="G159" s="4"/>
      <c r="H159" s="655"/>
      <c r="I159" s="628"/>
      <c r="J159" s="628"/>
      <c r="K159" s="21"/>
      <c r="L159" s="4"/>
      <c r="M159" s="681">
        <f>IF(ISNA(VLOOKUP($M$154,'Val-Départ'!B38:AC38,35,FALSE)),,VLOOKUP($M$154,'Val-Départ'!B38:AC38,35,FALSE))</f>
        <v>0</v>
      </c>
      <c r="N159" s="660">
        <f>IF(ISNA(VLOOKUP($M$154,'Val-Départ'!AF38:AK38,6,FALSE)),,VLOOKUP($M$154,'Val-Départ'!AF38:AK38,6,FALSE))</f>
        <v>0</v>
      </c>
      <c r="O159" s="134"/>
      <c r="P159" s="231">
        <v>38</v>
      </c>
    </row>
    <row r="160" spans="3:16">
      <c r="C160" s="231">
        <v>17</v>
      </c>
      <c r="D160" s="4"/>
      <c r="E160" s="656">
        <f>IF(ISNA(VLOOKUP($E$154,'Val-Départ'!B17:W17,18,FALSE)),,VLOOKUP($E$154,'Val-Départ'!B17:W17,18,FALSE))</f>
        <v>0</v>
      </c>
      <c r="F160" s="657">
        <f>IF(ISNA(VLOOKUP($E$154,'Val-Départ'!Y17:AD17,6,FALSE)),,VLOOKUP($E$154,'Val-Départ'!Y17:AD17,6,FALSE))</f>
        <v>0</v>
      </c>
      <c r="G160" s="4"/>
      <c r="H160" s="655"/>
      <c r="I160" s="628"/>
      <c r="J160" s="628"/>
      <c r="K160" s="21"/>
      <c r="L160" s="4"/>
      <c r="M160" s="681">
        <f>IF(ISNA(VLOOKUP($M$154,'Val-Départ'!B39:AC39,35,FALSE)),,VLOOKUP($M$154,'Val-Départ'!B39:AC39,35,FALSE))</f>
        <v>0</v>
      </c>
      <c r="N160" s="660">
        <f>IF(ISNA(VLOOKUP($M$154,'Val-Départ'!AF39:AK39,6,FALSE)),,VLOOKUP($M$154,'Val-Départ'!AF39:AK39,6,FALSE))</f>
        <v>0</v>
      </c>
      <c r="O160" s="4"/>
      <c r="P160" s="231">
        <v>39</v>
      </c>
    </row>
    <row r="161" spans="3:16" s="737" customFormat="1">
      <c r="C161" s="231">
        <v>18</v>
      </c>
      <c r="D161" s="4"/>
      <c r="E161" s="656">
        <f>IF(ISNA(VLOOKUP($E$154,'Val-Départ'!B18:W18,18,FALSE)),,VLOOKUP($E$154,'Val-Départ'!B18:W18,18,FALSE))</f>
        <v>0</v>
      </c>
      <c r="F161" s="657">
        <f>IF(ISNA(VLOOKUP($E$154,'Val-Départ'!Y18:AD18,6,FALSE)),,VLOOKUP($E$154,'Val-Départ'!Y18:AD18,6,FALSE))</f>
        <v>0</v>
      </c>
      <c r="G161" s="4"/>
      <c r="H161" s="655"/>
      <c r="K161" s="21"/>
      <c r="L161" s="4"/>
      <c r="M161" s="681">
        <f>IF(ISNA(VLOOKUP($M$154,'Val-Départ'!B40:AC40,35,FALSE)),,VLOOKUP($M$154,'Val-Départ'!B40:AC40,35,FALSE))</f>
        <v>0</v>
      </c>
      <c r="N161" s="660">
        <f>IF(ISNA(VLOOKUP($M$154,'Val-Départ'!AF40:AK40,6,FALSE)),,VLOOKUP($M$154,'Val-Départ'!AF40:AK40,6,FALSE))</f>
        <v>0</v>
      </c>
      <c r="O161" s="4"/>
      <c r="P161" s="231">
        <v>40</v>
      </c>
    </row>
    <row r="162" spans="3:16" s="737" customFormat="1">
      <c r="C162" s="231">
        <v>19</v>
      </c>
      <c r="D162" s="4"/>
      <c r="E162" s="656">
        <f>IF(ISNA(VLOOKUP($E$154,'Val-Départ'!B19:W19,18,FALSE)),,VLOOKUP($E$154,'Val-Départ'!B19:W19,18,FALSE))</f>
        <v>0</v>
      </c>
      <c r="F162" s="657">
        <f>IF(ISNA(VLOOKUP($E$154,'Val-Départ'!Y19:AD19,6,FALSE)),,VLOOKUP($E$154,'Val-Départ'!Y19:AD19,6,FALSE))</f>
        <v>0</v>
      </c>
      <c r="G162" s="4"/>
      <c r="H162" s="655"/>
      <c r="K162" s="21"/>
      <c r="L162" s="4"/>
      <c r="M162" s="681">
        <f>IF(ISNA(VLOOKUP($M$154,'Val-Départ'!B41:AC41,35,FALSE)),,VLOOKUP($M$154,'Val-Départ'!B41:AC41,35,FALSE))</f>
        <v>0</v>
      </c>
      <c r="N162" s="660">
        <f>IF(ISNA(VLOOKUP($M$154,'Val-Départ'!AF41:AK41,6,FALSE)),,VLOOKUP($M$154,'Val-Départ'!AF41:AK41,6,FALSE))</f>
        <v>0</v>
      </c>
      <c r="O162" s="4"/>
      <c r="P162" s="231">
        <v>41</v>
      </c>
    </row>
    <row r="163" spans="3:16" s="737" customFormat="1">
      <c r="C163" s="231">
        <v>20</v>
      </c>
      <c r="D163" s="4"/>
      <c r="E163" s="656">
        <f>IF(ISNA(VLOOKUP($E$154,'Val-Départ'!B20:W20,18,FALSE)),,VLOOKUP($E$154,'Val-Départ'!B20:W20,18,FALSE))</f>
        <v>0</v>
      </c>
      <c r="F163" s="657">
        <f>IF(ISNA(VLOOKUP($E$154,'Val-Départ'!Y20:AD20,6,FALSE)),,VLOOKUP($E$154,'Val-Départ'!Y20:AD20,6,FALSE))</f>
        <v>0</v>
      </c>
      <c r="G163" s="4"/>
      <c r="H163" s="655"/>
      <c r="K163" s="21"/>
      <c r="L163" s="4"/>
      <c r="M163" s="681">
        <f>IF(ISNA(VLOOKUP($M$154,'Val-Départ'!B42:AC42,35,FALSE)),,VLOOKUP($M$154,'Val-Départ'!B42:AC42,35,FALSE))</f>
        <v>0</v>
      </c>
      <c r="N163" s="660">
        <f>IF(ISNA(VLOOKUP($M$154,'Val-Départ'!AF42:AK42,6,FALSE)),,VLOOKUP($M$154,'Val-Départ'!AF42:AK42,6,FALSE))</f>
        <v>0</v>
      </c>
      <c r="O163" s="4"/>
      <c r="P163" s="231">
        <v>42</v>
      </c>
    </row>
    <row r="164" spans="3:16" s="737" customFormat="1">
      <c r="C164" s="231">
        <v>21</v>
      </c>
      <c r="D164" s="4"/>
      <c r="E164" s="656">
        <f>IF(ISNA(VLOOKUP($E$154,'Val-Départ'!B21:W21,18,FALSE)),,VLOOKUP($E$154,'Val-Départ'!B21:W21,18,FALSE))</f>
        <v>0</v>
      </c>
      <c r="F164" s="657">
        <f>IF(ISNA(VLOOKUP($E$154,'Val-Départ'!Y21:AD21,6,FALSE)),,VLOOKUP($E$154,'Val-Départ'!Y21:AD21,6,FALSE))</f>
        <v>0</v>
      </c>
      <c r="G164" s="4"/>
      <c r="H164" s="655"/>
      <c r="K164" s="21"/>
      <c r="L164" s="4"/>
      <c r="M164" s="681">
        <f>IF(ISNA(VLOOKUP($M$154,'Val-Départ'!B43:AC43,35,FALSE)),,VLOOKUP($M$154,'Val-Départ'!B43:AC43,35,FALSE))</f>
        <v>0</v>
      </c>
      <c r="N164" s="660">
        <f>IF(ISNA(VLOOKUP($M$154,'Val-Départ'!AF43:AK43,6,FALSE)),,VLOOKUP($M$154,'Val-Départ'!AF43:AK43,6,FALSE))</f>
        <v>0</v>
      </c>
      <c r="O164" s="4"/>
      <c r="P164" s="231">
        <v>43</v>
      </c>
    </row>
    <row r="165" spans="3:16" s="737" customFormat="1">
      <c r="C165" s="231">
        <v>22</v>
      </c>
      <c r="D165" s="4"/>
      <c r="E165" s="656">
        <f>IF(ISNA(VLOOKUP($E$154,'Val-Départ'!B22:W22,18,FALSE)),,VLOOKUP($E$154,'Val-Départ'!B22:W22,18,FALSE))</f>
        <v>0</v>
      </c>
      <c r="F165" s="657">
        <f>IF(ISNA(VLOOKUP($E$154,'Val-Départ'!Y22:AD22,6,FALSE)),,VLOOKUP($E$154,'Val-Départ'!Y22:AD22,6,FALSE))</f>
        <v>0</v>
      </c>
      <c r="G165" s="4"/>
      <c r="H165" s="655"/>
      <c r="K165" s="21"/>
      <c r="L165" s="4"/>
      <c r="M165" s="681">
        <f>IF(ISNA(VLOOKUP($M$154,'Val-Départ'!B44:AC44,35,FALSE)),,VLOOKUP($M$154,'Val-Départ'!B44:AC44,35,FALSE))</f>
        <v>0</v>
      </c>
      <c r="N165" s="660">
        <f>IF(ISNA(VLOOKUP($M$154,'Val-Départ'!AF44:AK44,6,FALSE)),,VLOOKUP($M$154,'Val-Départ'!AF44:AK44,6,FALSE))</f>
        <v>0</v>
      </c>
      <c r="O165" s="4"/>
      <c r="P165" s="231">
        <v>44</v>
      </c>
    </row>
    <row r="166" spans="3:16" s="737" customFormat="1" ht="15.75" thickBot="1">
      <c r="C166" s="231">
        <v>23</v>
      </c>
      <c r="D166" s="4"/>
      <c r="E166" s="656">
        <f>IF(ISNA(VLOOKUP($E$154,'Val-Départ'!B23:W23,18,FALSE)),,VLOOKUP($E$154,'Val-Départ'!B23:W23,18,FALSE))</f>
        <v>0</v>
      </c>
      <c r="F166" s="657">
        <f>IF(ISNA(VLOOKUP($E$154,'Val-Départ'!Y23:AD23,6,FALSE)),,VLOOKUP($E$154,'Val-Départ'!Y23:AD23,6,FALSE))</f>
        <v>0</v>
      </c>
      <c r="G166" s="4"/>
      <c r="H166" s="655"/>
      <c r="K166" s="21"/>
      <c r="L166" s="4"/>
      <c r="M166" s="681">
        <f>IF(ISNA(VLOOKUP($M$154,'Val-Départ'!B45:AC45,35,FALSE)),,VLOOKUP($M$154,'Val-Départ'!B45:AC45,35,FALSE))</f>
        <v>0</v>
      </c>
      <c r="N166" s="660">
        <f>IF(ISNA(VLOOKUP($M$154,'Val-Départ'!AF45:AK45,6,FALSE)),,VLOOKUP($M$154,'Val-Départ'!AF45:AK45,6,FALSE))</f>
        <v>0</v>
      </c>
      <c r="O166" s="4"/>
      <c r="P166" s="231"/>
    </row>
    <row r="167" spans="3:16">
      <c r="C167" s="4"/>
      <c r="D167" s="216"/>
      <c r="E167" s="311">
        <f>SUM(E155:E160)</f>
        <v>0</v>
      </c>
      <c r="F167" s="663">
        <f>SUM(F156:F160)</f>
        <v>0</v>
      </c>
      <c r="G167" s="216"/>
      <c r="H167" s="655"/>
      <c r="I167" s="628"/>
      <c r="J167" s="628"/>
      <c r="K167" s="21"/>
      <c r="L167" s="4"/>
      <c r="M167" s="311">
        <f>SUM(M156:M160)</f>
        <v>0</v>
      </c>
      <c r="N167" s="311">
        <f>SUM(N156:N160)</f>
        <v>0</v>
      </c>
      <c r="O167" s="216"/>
      <c r="P167" s="703"/>
    </row>
    <row r="168" spans="3:16" ht="19.5" thickBot="1">
      <c r="C168" s="4"/>
      <c r="D168" s="4"/>
      <c r="E168" s="704">
        <f>E167-F167</f>
        <v>0</v>
      </c>
      <c r="F168" s="391" t="s">
        <v>461</v>
      </c>
      <c r="G168" s="391"/>
      <c r="H168" s="694"/>
      <c r="I168" s="628"/>
      <c r="J168" s="628"/>
      <c r="K168" s="21"/>
      <c r="L168" s="4"/>
      <c r="M168" s="4"/>
      <c r="N168" s="705">
        <f>(N167-M167)</f>
        <v>0</v>
      </c>
      <c r="O168" s="706" t="s">
        <v>260</v>
      </c>
      <c r="P168" s="317"/>
    </row>
    <row r="170" spans="3:16" ht="19.5" thickBot="1">
      <c r="C170" s="661"/>
      <c r="D170" s="627"/>
      <c r="E170" s="725" t="s">
        <v>456</v>
      </c>
      <c r="F170" s="720"/>
      <c r="G170" s="721"/>
      <c r="H170" s="631"/>
      <c r="I170" s="4"/>
      <c r="J170" s="4"/>
      <c r="K170" s="21"/>
      <c r="L170" s="722"/>
      <c r="M170" s="725" t="s">
        <v>456</v>
      </c>
      <c r="N170" s="723"/>
      <c r="O170" s="724"/>
      <c r="P170" s="317"/>
    </row>
    <row r="171" spans="3:16" ht="15.75" thickBot="1">
      <c r="C171" s="631"/>
      <c r="D171" s="249" t="s">
        <v>263</v>
      </c>
      <c r="E171" s="639">
        <f t="array" ref="E171">INDEX('Val-Départ'!B$1:B$26,MIN(IF(COUNTIF('Liv-Four-client'!E$11:E170,'Val-Départ'!B$22:B$26)=0,ROW($22:$26))))</f>
        <v>0</v>
      </c>
      <c r="F171" s="640" t="str">
        <f>IFERROR(VLOOKUP($E$171,'Val-Départ'!$B$12:$D$26,2,FALSE),"")</f>
        <v/>
      </c>
      <c r="G171" s="249" t="s">
        <v>262</v>
      </c>
      <c r="H171" s="658"/>
      <c r="I171" s="4"/>
      <c r="J171" s="4"/>
      <c r="K171" s="21"/>
      <c r="L171" s="249" t="s">
        <v>263</v>
      </c>
      <c r="M171" s="639">
        <f t="array" ref="M171">INDEX('Val-Départ'!B$1:B$44,MIN(IF(COUNTIF('Liv-Four-client'!M$11:M170,'Val-Départ'!B$44:B$45)=0,ROW($44:$45))))</f>
        <v>0</v>
      </c>
      <c r="N171" s="640" t="str">
        <f>IFERROR(VLOOKUP($M$171,'Val-Départ'!$B$44:$D$45,2,FALSE),"")</f>
        <v/>
      </c>
      <c r="O171" s="249" t="s">
        <v>262</v>
      </c>
      <c r="P171" s="231"/>
    </row>
    <row r="172" spans="3:16">
      <c r="C172" s="4"/>
      <c r="D172" s="673" t="s">
        <v>278</v>
      </c>
      <c r="E172" s="647" t="str">
        <f>IFERROR(VLOOKUP($E$171,'Val-Départ'!$B$12:$D$26,3,FALSE),"")</f>
        <v/>
      </c>
      <c r="F172" s="674" t="s">
        <v>282</v>
      </c>
      <c r="G172" s="678"/>
      <c r="H172" s="655"/>
      <c r="I172" s="4"/>
      <c r="J172" s="4"/>
      <c r="K172" s="21"/>
      <c r="L172" s="678"/>
      <c r="M172" s="679" t="s">
        <v>279</v>
      </c>
      <c r="N172" s="647" t="str">
        <f>IFERROR(VLOOKUP($M$171,'Val-Départ'!$B$44:$D$45,3,FALSE),"")</f>
        <v/>
      </c>
      <c r="O172" s="673" t="s">
        <v>278</v>
      </c>
      <c r="P172" s="231"/>
    </row>
    <row r="173" spans="3:16">
      <c r="C173" s="231">
        <v>13</v>
      </c>
      <c r="D173" s="134"/>
      <c r="E173" s="656">
        <f>IF(ISNA(VLOOKUP($E$171,'Val-Départ'!B13:W13,18,FALSE)),,VLOOKUP($E$171,'Val-Départ'!B13:W13,18,FALSE))</f>
        <v>0</v>
      </c>
      <c r="F173" s="657">
        <f>IF(ISNA(VLOOKUP($E$171,'Val-Départ'!Y13:AD13,6,FALSE)),,VLOOKUP($E$171,'Val-Départ'!Y13:AD13,6,FALSE))</f>
        <v>0</v>
      </c>
      <c r="G173" s="4"/>
      <c r="H173" s="655"/>
      <c r="I173" s="4"/>
      <c r="J173" s="4"/>
      <c r="K173" s="21"/>
      <c r="L173" s="4"/>
      <c r="M173" s="681">
        <f>IF(ISNA(VLOOKUP($M$171,'Val-Départ'!B35:AC35,35,FALSE)),,VLOOKUP($M$171,'Val-Départ'!B35:AC35,35,FALSE))</f>
        <v>0</v>
      </c>
      <c r="N173" s="660">
        <f>IF(ISNA(VLOOKUP($M$171,'Val-Départ'!AF35:AK35,6,FALSE)),,VLOOKUP($M$171,'Val-Départ'!AF35:AK35,6,FALSE))</f>
        <v>0</v>
      </c>
      <c r="O173" s="134"/>
      <c r="P173" s="231">
        <v>35</v>
      </c>
    </row>
    <row r="174" spans="3:16">
      <c r="C174" s="231">
        <v>14</v>
      </c>
      <c r="D174" s="134"/>
      <c r="E174" s="656">
        <f>IF(ISNA(VLOOKUP($E$171,'Val-Départ'!B14:W14,18,FALSE)),,VLOOKUP($E$171,'Val-Départ'!B14:W14,18,FALSE))</f>
        <v>0</v>
      </c>
      <c r="F174" s="657">
        <f>IF(ISNA(VLOOKUP($E$171,'Val-Départ'!Y14:AD14,6,FALSE)),,VLOOKUP($E$171,'Val-Départ'!Y14:AD14,6,FALSE))</f>
        <v>0</v>
      </c>
      <c r="G174" s="4"/>
      <c r="H174" s="655"/>
      <c r="I174" s="628"/>
      <c r="J174" s="628"/>
      <c r="K174" s="21"/>
      <c r="L174" s="4"/>
      <c r="M174" s="681">
        <f>IF(ISNA(VLOOKUP($M$171,'Val-Départ'!B36:AC36,35,FALSE)),,VLOOKUP($M$171,'Val-Départ'!B36:AC36,35,FALSE))</f>
        <v>0</v>
      </c>
      <c r="N174" s="660">
        <f>IF(ISNA(VLOOKUP($M$171,'Val-Départ'!AF36:AK36,6,FALSE)),,VLOOKUP($M$171,'Val-Départ'!AF36:AK36,6,FALSE))</f>
        <v>0</v>
      </c>
      <c r="O174" s="134"/>
      <c r="P174" s="231">
        <v>36</v>
      </c>
    </row>
    <row r="175" spans="3:16">
      <c r="C175" s="231">
        <v>15</v>
      </c>
      <c r="D175" s="134"/>
      <c r="E175" s="656">
        <f>IF(ISNA(VLOOKUP($E$171,'Val-Départ'!B15:W15,18,FALSE)),,VLOOKUP($E$171,'Val-Départ'!B15:W15,18,FALSE))</f>
        <v>0</v>
      </c>
      <c r="F175" s="657">
        <f>IF(ISNA(VLOOKUP($E$171,'Val-Départ'!Y15:AD15,6,FALSE)),,VLOOKUP($E$171,'Val-Départ'!Y15:AD15,6,FALSE))</f>
        <v>0</v>
      </c>
      <c r="G175" s="4"/>
      <c r="H175" s="655"/>
      <c r="I175" s="628"/>
      <c r="J175" s="628"/>
      <c r="K175" s="21"/>
      <c r="L175" s="4"/>
      <c r="M175" s="681">
        <f>IF(ISNA(VLOOKUP($M$171,'Val-Départ'!B37:AC37,35,FALSE)),,VLOOKUP($M$171,'Val-Départ'!B37:AC37,35,FALSE))</f>
        <v>0</v>
      </c>
      <c r="N175" s="660">
        <f>IF(ISNA(VLOOKUP($M$171,'Val-Départ'!AF37:AK37,6,FALSE)),,VLOOKUP($M$171,'Val-Départ'!AF37:AK37,6,FALSE))</f>
        <v>0</v>
      </c>
      <c r="O175" s="134"/>
      <c r="P175" s="231">
        <v>37</v>
      </c>
    </row>
    <row r="176" spans="3:16">
      <c r="C176" s="231">
        <v>16</v>
      </c>
      <c r="D176" s="134"/>
      <c r="E176" s="656">
        <f>IF(ISNA(VLOOKUP($E$171,'Val-Départ'!B16:W16,18,FALSE)),,VLOOKUP($E$171,'Val-Départ'!B16:W16,18,FALSE))</f>
        <v>0</v>
      </c>
      <c r="F176" s="657">
        <f>IF(ISNA(VLOOKUP($E$171,'Val-Départ'!Y16:AD16,6,FALSE)),,VLOOKUP($E$171,'Val-Départ'!Y16:AD16,6,FALSE))</f>
        <v>0</v>
      </c>
      <c r="G176" s="4"/>
      <c r="H176" s="655"/>
      <c r="I176" s="628"/>
      <c r="J176" s="628"/>
      <c r="K176" s="21"/>
      <c r="L176" s="4"/>
      <c r="M176" s="681">
        <f>IF(ISNA(VLOOKUP($M$171,'Val-Départ'!B38:AC38,35,FALSE)),,VLOOKUP($M$171,'Val-Départ'!B38:AC38,35,FALSE))</f>
        <v>0</v>
      </c>
      <c r="N176" s="660">
        <f>IF(ISNA(VLOOKUP($M$171,'Val-Départ'!AF38:AK38,6,FALSE)),,VLOOKUP($M$171,'Val-Départ'!AF38:AK38,6,FALSE))</f>
        <v>0</v>
      </c>
      <c r="O176" s="134"/>
      <c r="P176" s="231">
        <v>38</v>
      </c>
    </row>
    <row r="177" spans="3:16">
      <c r="C177" s="231">
        <v>17</v>
      </c>
      <c r="D177" s="4"/>
      <c r="E177" s="656">
        <f>IF(ISNA(VLOOKUP($E$171,'Val-Départ'!B17:W17,18,FALSE)),,VLOOKUP($E$171,'Val-Départ'!B17:W17,18,FALSE))</f>
        <v>0</v>
      </c>
      <c r="F177" s="657">
        <f>IF(ISNA(VLOOKUP($E$171,'Val-Départ'!Y17:AD17,6,FALSE)),,VLOOKUP($E$171,'Val-Départ'!Y17:AD17,6,FALSE))</f>
        <v>0</v>
      </c>
      <c r="G177" s="4"/>
      <c r="H177" s="655"/>
      <c r="I177" s="628"/>
      <c r="J177" s="628"/>
      <c r="K177" s="21"/>
      <c r="L177" s="4"/>
      <c r="M177" s="681">
        <f>IF(ISNA(VLOOKUP($M$171,'Val-Départ'!B39:AC39,35,FALSE)),,VLOOKUP($M$171,'Val-Départ'!B39:AC39,35,FALSE))</f>
        <v>0</v>
      </c>
      <c r="N177" s="660">
        <f>IF(ISNA(VLOOKUP($M$171,'Val-Départ'!AF39:AK39,6,FALSE)),,VLOOKUP($M$171,'Val-Départ'!AF39:AK39,6,FALSE))</f>
        <v>0</v>
      </c>
      <c r="O177" s="4"/>
      <c r="P177" s="231">
        <v>39</v>
      </c>
    </row>
    <row r="178" spans="3:16" s="737" customFormat="1">
      <c r="C178" s="231">
        <v>18</v>
      </c>
      <c r="D178" s="4"/>
      <c r="E178" s="656">
        <f>IF(ISNA(VLOOKUP($E$171,'Val-Départ'!B18:W18,18,FALSE)),,VLOOKUP($E$171,'Val-Départ'!B18:W18,18,FALSE))</f>
        <v>0</v>
      </c>
      <c r="F178" s="657">
        <f>IF(ISNA(VLOOKUP($E$171,'Val-Départ'!Y18:AD18,6,FALSE)),,VLOOKUP($E$171,'Val-Départ'!Y18:AD18,6,FALSE))</f>
        <v>0</v>
      </c>
      <c r="G178" s="4"/>
      <c r="H178" s="655"/>
      <c r="K178" s="21"/>
      <c r="L178" s="4"/>
      <c r="M178" s="681">
        <f>IF(ISNA(VLOOKUP($M$171,'Val-Départ'!B40:AC40,35,FALSE)),,VLOOKUP($M$171,'Val-Départ'!B40:AC40,35,FALSE))</f>
        <v>0</v>
      </c>
      <c r="N178" s="660">
        <f>IF(ISNA(VLOOKUP($M$171,'Val-Départ'!AF40:AK40,6,FALSE)),,VLOOKUP($M$171,'Val-Départ'!AF40:AK40,6,FALSE))</f>
        <v>0</v>
      </c>
      <c r="O178" s="4"/>
      <c r="P178" s="231">
        <v>40</v>
      </c>
    </row>
    <row r="179" spans="3:16" s="737" customFormat="1">
      <c r="C179" s="231">
        <v>19</v>
      </c>
      <c r="D179" s="4"/>
      <c r="E179" s="656">
        <f>IF(ISNA(VLOOKUP($E$171,'Val-Départ'!B19:W19,18,FALSE)),,VLOOKUP($E$171,'Val-Départ'!B19:W19,18,FALSE))</f>
        <v>0</v>
      </c>
      <c r="F179" s="657">
        <f>IF(ISNA(VLOOKUP($E$171,'Val-Départ'!Y19:AD19,6,FALSE)),,VLOOKUP($E$171,'Val-Départ'!Y19:AD19,6,FALSE))</f>
        <v>0</v>
      </c>
      <c r="G179" s="4"/>
      <c r="H179" s="655"/>
      <c r="K179" s="21"/>
      <c r="L179" s="4"/>
      <c r="M179" s="681">
        <f>IF(ISNA(VLOOKUP($M$171,'Val-Départ'!B41:AC41,35,FALSE)),,VLOOKUP($M$171,'Val-Départ'!B41:AC41,35,FALSE))</f>
        <v>0</v>
      </c>
      <c r="N179" s="660">
        <f>IF(ISNA(VLOOKUP($M$171,'Val-Départ'!AF41:AK41,6,FALSE)),,VLOOKUP($M$171,'Val-Départ'!AF41:AK41,6,FALSE))</f>
        <v>0</v>
      </c>
      <c r="O179" s="4"/>
      <c r="P179" s="231">
        <v>41</v>
      </c>
    </row>
    <row r="180" spans="3:16" s="737" customFormat="1">
      <c r="C180" s="231">
        <v>20</v>
      </c>
      <c r="D180" s="4"/>
      <c r="E180" s="656">
        <f>IF(ISNA(VLOOKUP($E$171,'Val-Départ'!B20:W20,18,FALSE)),,VLOOKUP($E$171,'Val-Départ'!B20:W20,18,FALSE))</f>
        <v>0</v>
      </c>
      <c r="F180" s="657">
        <f>IF(ISNA(VLOOKUP($E$171,'Val-Départ'!Y20:AD20,6,FALSE)),,VLOOKUP($E$171,'Val-Départ'!Y20:AD20,6,FALSE))</f>
        <v>0</v>
      </c>
      <c r="G180" s="4"/>
      <c r="H180" s="655"/>
      <c r="K180" s="21"/>
      <c r="L180" s="4"/>
      <c r="M180" s="681">
        <f>IF(ISNA(VLOOKUP($M$171,'Val-Départ'!B42:AC42,35,FALSE)),,VLOOKUP($M$171,'Val-Départ'!B42:AC42,35,FALSE))</f>
        <v>0</v>
      </c>
      <c r="N180" s="660">
        <f>IF(ISNA(VLOOKUP($M$171,'Val-Départ'!AF42:AK42,6,FALSE)),,VLOOKUP($M$171,'Val-Départ'!AF42:AK42,6,FALSE))</f>
        <v>0</v>
      </c>
      <c r="O180" s="4"/>
      <c r="P180" s="231">
        <v>42</v>
      </c>
    </row>
    <row r="181" spans="3:16" s="737" customFormat="1">
      <c r="C181" s="231">
        <v>21</v>
      </c>
      <c r="D181" s="4"/>
      <c r="E181" s="656">
        <f>IF(ISNA(VLOOKUP($E$171,'Val-Départ'!B21:W21,18,FALSE)),,VLOOKUP($E$171,'Val-Départ'!B21:W21,18,FALSE))</f>
        <v>0</v>
      </c>
      <c r="F181" s="657">
        <f>IF(ISNA(VLOOKUP($E$171,'Val-Départ'!Y21:AD21,6,FALSE)),,VLOOKUP($E$171,'Val-Départ'!Y21:AD21,6,FALSE))</f>
        <v>0</v>
      </c>
      <c r="G181" s="4"/>
      <c r="H181" s="655"/>
      <c r="K181" s="21"/>
      <c r="L181" s="4"/>
      <c r="M181" s="681">
        <f>IF(ISNA(VLOOKUP($M$171,'Val-Départ'!B43:AC43,35,FALSE)),,VLOOKUP($M$171,'Val-Départ'!B43:AC43,35,FALSE))</f>
        <v>0</v>
      </c>
      <c r="N181" s="660">
        <f>IF(ISNA(VLOOKUP($M$171,'Val-Départ'!AF43:AK43,6,FALSE)),,VLOOKUP($M$171,'Val-Départ'!AF43:AK43,6,FALSE))</f>
        <v>0</v>
      </c>
      <c r="O181" s="4"/>
      <c r="P181" s="231">
        <v>43</v>
      </c>
    </row>
    <row r="182" spans="3:16" s="737" customFormat="1">
      <c r="C182" s="231">
        <v>22</v>
      </c>
      <c r="D182" s="4"/>
      <c r="E182" s="656">
        <f>IF(ISNA(VLOOKUP($E$171,'Val-Départ'!B22:W22,18,FALSE)),,VLOOKUP($E$171,'Val-Départ'!B22:W22,18,FALSE))</f>
        <v>0</v>
      </c>
      <c r="F182" s="657">
        <f>IF(ISNA(VLOOKUP($E$171,'Val-Départ'!Y22:AD22,6,FALSE)),,VLOOKUP($E$171,'Val-Départ'!Y22:AD22,6,FALSE))</f>
        <v>0</v>
      </c>
      <c r="G182" s="4"/>
      <c r="H182" s="655"/>
      <c r="K182" s="21"/>
      <c r="L182" s="4"/>
      <c r="M182" s="681">
        <f>IF(ISNA(VLOOKUP($M$171,'Val-Départ'!B44:AC44,35,FALSE)),,VLOOKUP($M$171,'Val-Départ'!B44:AC44,35,FALSE))</f>
        <v>0</v>
      </c>
      <c r="N182" s="660">
        <f>IF(ISNA(VLOOKUP($M$171,'Val-Départ'!AF44:AK44,6,FALSE)),,VLOOKUP($M$171,'Val-Départ'!AF44:AK44,6,FALSE))</f>
        <v>0</v>
      </c>
      <c r="O182" s="4"/>
      <c r="P182" s="231">
        <v>44</v>
      </c>
    </row>
    <row r="183" spans="3:16" s="737" customFormat="1" ht="15.75" thickBot="1">
      <c r="C183" s="231">
        <v>23</v>
      </c>
      <c r="D183" s="4"/>
      <c r="E183" s="656">
        <f>IF(ISNA(VLOOKUP($E$171,'Val-Départ'!B23:W23,18,FALSE)),,VLOOKUP($E$171,'Val-Départ'!B23:W23,18,FALSE))</f>
        <v>0</v>
      </c>
      <c r="F183" s="657">
        <f>IF(ISNA(VLOOKUP($E$171,'Val-Départ'!Y23:AD23,6,FALSE)),,VLOOKUP($E$171,'Val-Départ'!Y23:AD23,6,FALSE))</f>
        <v>0</v>
      </c>
      <c r="G183" s="4"/>
      <c r="H183" s="655"/>
      <c r="K183" s="21"/>
      <c r="L183" s="4"/>
      <c r="M183" s="681">
        <f>IF(ISNA(VLOOKUP($M$171,'Val-Départ'!B45:AC45,35,FALSE)),,VLOOKUP($M$171,'Val-Départ'!B45:AC45,35,FALSE))</f>
        <v>0</v>
      </c>
      <c r="N183" s="660">
        <f>IF(ISNA(VLOOKUP($M$171,'Val-Départ'!AF45:AK45,6,FALSE)),,VLOOKUP($M$171,'Val-Départ'!AF45:AK45,6,FALSE))</f>
        <v>0</v>
      </c>
      <c r="O183" s="4"/>
      <c r="P183" s="231"/>
    </row>
    <row r="184" spans="3:16">
      <c r="C184" s="4"/>
      <c r="D184" s="216"/>
      <c r="E184" s="311">
        <f>SUM(E172:E177)</f>
        <v>0</v>
      </c>
      <c r="F184" s="663">
        <f>SUM(F173:F177)</f>
        <v>0</v>
      </c>
      <c r="G184" s="216"/>
      <c r="H184" s="655"/>
      <c r="I184" s="628"/>
      <c r="J184" s="628"/>
      <c r="K184" s="21"/>
      <c r="L184" s="4"/>
      <c r="M184" s="311">
        <f>SUM(M173:M177)</f>
        <v>0</v>
      </c>
      <c r="N184" s="311">
        <f>SUM(N173:N177)</f>
        <v>0</v>
      </c>
      <c r="O184" s="216"/>
      <c r="P184" s="703"/>
    </row>
    <row r="185" spans="3:16" ht="19.5" thickBot="1">
      <c r="C185" s="4"/>
      <c r="D185" s="4"/>
      <c r="E185" s="704">
        <f>E184-F184</f>
        <v>0</v>
      </c>
      <c r="F185" s="391" t="s">
        <v>462</v>
      </c>
      <c r="G185" s="391"/>
      <c r="H185" s="694"/>
      <c r="I185" s="628"/>
      <c r="J185" s="628"/>
      <c r="K185" s="21"/>
      <c r="L185" s="4"/>
      <c r="M185" s="4"/>
      <c r="N185" s="705">
        <f>(N184-M184)</f>
        <v>0</v>
      </c>
      <c r="O185" s="706" t="s">
        <v>260</v>
      </c>
      <c r="P185" s="317"/>
    </row>
    <row r="188" spans="3:16" ht="19.5" thickBot="1">
      <c r="C188" s="661"/>
      <c r="D188" s="627"/>
      <c r="E188" s="725" t="s">
        <v>456</v>
      </c>
      <c r="F188" s="720"/>
      <c r="G188" s="721"/>
      <c r="H188" s="631"/>
      <c r="I188" s="4"/>
      <c r="J188" s="4"/>
      <c r="K188" s="21"/>
      <c r="L188" s="722"/>
      <c r="M188" s="725" t="s">
        <v>456</v>
      </c>
      <c r="N188" s="723"/>
      <c r="O188" s="724"/>
      <c r="P188" s="317"/>
    </row>
    <row r="189" spans="3:16" ht="15.75" thickBot="1">
      <c r="C189" s="631"/>
      <c r="D189" s="249" t="s">
        <v>263</v>
      </c>
      <c r="E189" s="639">
        <f t="array" ref="E189">INDEX('Val-Départ'!B$1:B$26,MIN(IF(COUNTIF('Liv-Four-client'!E$11:E188,'Val-Départ'!B$13:B$26)=0,ROW($13:$26))))</f>
        <v>0</v>
      </c>
      <c r="F189" s="640" t="str">
        <f>IFERROR(VLOOKUP($E$189,'Val-Départ'!$B$12:$D$26,2,FALSE),"")</f>
        <v/>
      </c>
      <c r="G189" s="249" t="s">
        <v>262</v>
      </c>
      <c r="H189" s="658"/>
      <c r="I189" s="4"/>
      <c r="J189" s="4"/>
      <c r="K189" s="21"/>
      <c r="L189" s="249" t="s">
        <v>263</v>
      </c>
      <c r="M189" s="639">
        <f t="array" ref="M189">INDEX('Val-Départ'!B$1:B$45,MIN(IF(COUNTIF('Liv-Four-client'!M$11:M188,'Val-Départ'!B$45:B$45)=0,ROW($45:$45))))</f>
        <v>0</v>
      </c>
      <c r="N189" s="640" t="str">
        <f>IFERROR(VLOOKUP($M$189,'Val-Départ'!$B$45:$D$45,2,FALSE),"")</f>
        <v/>
      </c>
      <c r="O189" s="249" t="s">
        <v>262</v>
      </c>
      <c r="P189" s="231"/>
    </row>
    <row r="190" spans="3:16">
      <c r="C190" s="4"/>
      <c r="D190" s="673" t="s">
        <v>278</v>
      </c>
      <c r="E190" s="647" t="str">
        <f>IFERROR(VLOOKUP($E$189,'Val-Départ'!$B$12:$D$26,3,FALSE),"")</f>
        <v/>
      </c>
      <c r="F190" s="674" t="s">
        <v>282</v>
      </c>
      <c r="G190" s="678"/>
      <c r="H190" s="655"/>
      <c r="I190" s="4"/>
      <c r="J190" s="4"/>
      <c r="K190" s="21"/>
      <c r="L190" s="678"/>
      <c r="M190" s="679" t="s">
        <v>279</v>
      </c>
      <c r="N190" s="647" t="str">
        <f>IFERROR(VLOOKUP($M$189,'Val-Départ'!$B$45:$D$45,3,FALSE),"")</f>
        <v/>
      </c>
      <c r="O190" s="673" t="s">
        <v>278</v>
      </c>
      <c r="P190" s="231"/>
    </row>
    <row r="191" spans="3:16">
      <c r="C191" s="231">
        <v>13</v>
      </c>
      <c r="D191" s="134"/>
      <c r="E191" s="656">
        <f>IF(ISNA(VLOOKUP($E$189,'Val-Départ'!B13:W13,18,FALSE)),,VLOOKUP($E$189,'Val-Départ'!B13:W13,18,FALSE))</f>
        <v>0</v>
      </c>
      <c r="F191" s="657">
        <f>IF(ISNA(VLOOKUP($E$189,'Val-Départ'!Y13:AD13,6,FALSE)),,VLOOKUP($E$189,'Val-Départ'!Y13:AD13,6,FALSE))</f>
        <v>0</v>
      </c>
      <c r="G191" s="4"/>
      <c r="H191" s="655"/>
      <c r="I191" s="4"/>
      <c r="J191" s="4"/>
      <c r="K191" s="21"/>
      <c r="L191" s="4"/>
      <c r="M191" s="681">
        <f>IF(ISNA(VLOOKUP($M$189,'Val-Départ'!B35:AC35,35,FALSE)),,VLOOKUP($M$189,'Val-Départ'!B35:AC35,35,FALSE))</f>
        <v>0</v>
      </c>
      <c r="N191" s="660">
        <f>IF(ISNA(VLOOKUP($M$189,'Val-Départ'!AF35:AK35,6,FALSE)),,VLOOKUP($M$189,'Val-Départ'!AF35:AK35,6,FALSE))</f>
        <v>0</v>
      </c>
      <c r="O191" s="134"/>
      <c r="P191" s="231">
        <v>35</v>
      </c>
    </row>
    <row r="192" spans="3:16">
      <c r="C192" s="231">
        <v>14</v>
      </c>
      <c r="D192" s="134"/>
      <c r="E192" s="656">
        <f>IF(ISNA(VLOOKUP($E$189,'Val-Départ'!B14:W14,18,FALSE)),,VLOOKUP($E$189,'Val-Départ'!B14:W14,18,FALSE))</f>
        <v>0</v>
      </c>
      <c r="F192" s="657">
        <f>IF(ISNA(VLOOKUP($E$189,'Val-Départ'!Y14:AD14,6,FALSE)),,VLOOKUP($E$189,'Val-Départ'!Y14:AD14,6,FALSE))</f>
        <v>0</v>
      </c>
      <c r="G192" s="4"/>
      <c r="H192" s="655"/>
      <c r="I192" s="628"/>
      <c r="J192" s="628"/>
      <c r="K192" s="21"/>
      <c r="L192" s="4"/>
      <c r="M192" s="681">
        <f>IF(ISNA(VLOOKUP($M$189,'Val-Départ'!B36:AC36,35,FALSE)),,VLOOKUP($M$189,'Val-Départ'!B36:AC36,35,FALSE))</f>
        <v>0</v>
      </c>
      <c r="N192" s="660">
        <f>IF(ISNA(VLOOKUP($M$189,'Val-Départ'!AF36:AK36,6,FALSE)),,VLOOKUP($M$189,'Val-Départ'!AF36:AK36,6,FALSE))</f>
        <v>0</v>
      </c>
      <c r="O192" s="134"/>
      <c r="P192" s="231">
        <v>36</v>
      </c>
    </row>
    <row r="193" spans="3:16">
      <c r="C193" s="231">
        <v>15</v>
      </c>
      <c r="D193" s="134"/>
      <c r="E193" s="656">
        <f>IF(ISNA(VLOOKUP($E$189,'Val-Départ'!B15:W15,18,FALSE)),,VLOOKUP($E$189,'Val-Départ'!B15:W15,18,FALSE))</f>
        <v>0</v>
      </c>
      <c r="F193" s="657">
        <f>IF(ISNA(VLOOKUP($E$189,'Val-Départ'!Y15:AD15,6,FALSE)),,VLOOKUP($E$189,'Val-Départ'!Y15:AD15,6,FALSE))</f>
        <v>0</v>
      </c>
      <c r="G193" s="4"/>
      <c r="H193" s="655"/>
      <c r="I193" s="628"/>
      <c r="J193" s="628"/>
      <c r="K193" s="21"/>
      <c r="L193" s="4"/>
      <c r="M193" s="681">
        <f>IF(ISNA(VLOOKUP($M$189,'Val-Départ'!B37:AC37,35,FALSE)),,VLOOKUP($M$189,'Val-Départ'!B37:AC37,35,FALSE))</f>
        <v>0</v>
      </c>
      <c r="N193" s="660">
        <f>IF(ISNA(VLOOKUP($M$189,'Val-Départ'!AF37:AK37,6,FALSE)),,VLOOKUP($M$189,'Val-Départ'!AF37:AK37,6,FALSE))</f>
        <v>0</v>
      </c>
      <c r="O193" s="134"/>
      <c r="P193" s="231">
        <v>37</v>
      </c>
    </row>
    <row r="194" spans="3:16">
      <c r="C194" s="231">
        <v>16</v>
      </c>
      <c r="D194" s="134"/>
      <c r="E194" s="656">
        <f>IF(ISNA(VLOOKUP($E$189,'Val-Départ'!B16:W16,18,FALSE)),,VLOOKUP($E$189,'Val-Départ'!B16:W16,18,FALSE))</f>
        <v>0</v>
      </c>
      <c r="F194" s="657">
        <f>IF(ISNA(VLOOKUP($E$189,'Val-Départ'!Y16:AD16,6,FALSE)),,VLOOKUP($E$189,'Val-Départ'!Y16:AD16,6,FALSE))</f>
        <v>0</v>
      </c>
      <c r="G194" s="4"/>
      <c r="H194" s="655"/>
      <c r="I194" s="628"/>
      <c r="J194" s="628"/>
      <c r="K194" s="21"/>
      <c r="L194" s="4"/>
      <c r="M194" s="681">
        <f>IF(ISNA(VLOOKUP($M$189,'Val-Départ'!B38:AC38,35,FALSE)),,VLOOKUP($M$189,'Val-Départ'!B38:AC38,35,FALSE))</f>
        <v>0</v>
      </c>
      <c r="N194" s="660">
        <f>IF(ISNA(VLOOKUP($M$189,'Val-Départ'!AF38:AK38,6,FALSE)),,VLOOKUP($M$189,'Val-Départ'!AF38:AK38,6,FALSE))</f>
        <v>0</v>
      </c>
      <c r="O194" s="134"/>
      <c r="P194" s="231">
        <v>38</v>
      </c>
    </row>
    <row r="195" spans="3:16">
      <c r="C195" s="231">
        <v>17</v>
      </c>
      <c r="D195" s="4"/>
      <c r="E195" s="656">
        <f>IF(ISNA(VLOOKUP($E$189,'Val-Départ'!B17:W17,18,FALSE)),,VLOOKUP($E$189,'Val-Départ'!B17:W17,18,FALSE))</f>
        <v>0</v>
      </c>
      <c r="F195" s="657">
        <f>IF(ISNA(VLOOKUP($E$189,'Val-Départ'!Y17:AD17,6,FALSE)),,VLOOKUP($E$189,'Val-Départ'!Y17:AD17,6,FALSE))</f>
        <v>0</v>
      </c>
      <c r="G195" s="4"/>
      <c r="H195" s="655"/>
      <c r="I195" s="628"/>
      <c r="J195" s="628"/>
      <c r="K195" s="21"/>
      <c r="L195" s="4"/>
      <c r="M195" s="681">
        <f>IF(ISNA(VLOOKUP($M$189,'Val-Départ'!B39:AC39,35,FALSE)),,VLOOKUP($M$189,'Val-Départ'!B39:AC39,35,FALSE))</f>
        <v>0</v>
      </c>
      <c r="N195" s="660">
        <f>IF(ISNA(VLOOKUP($M$189,'Val-Départ'!AF39:AK39,6,FALSE)),,VLOOKUP($M$189,'Val-Départ'!AF39:AK39,6,FALSE))</f>
        <v>0</v>
      </c>
      <c r="O195" s="4"/>
      <c r="P195" s="231">
        <v>39</v>
      </c>
    </row>
    <row r="196" spans="3:16" s="737" customFormat="1">
      <c r="C196" s="231">
        <v>18</v>
      </c>
      <c r="D196" s="4"/>
      <c r="E196" s="656">
        <f>IF(ISNA(VLOOKUP($E$189,'Val-Départ'!B18:W18,18,FALSE)),,VLOOKUP($E$189,'Val-Départ'!B18:W18,18,FALSE))</f>
        <v>0</v>
      </c>
      <c r="F196" s="657">
        <f>IF(ISNA(VLOOKUP($E$189,'Val-Départ'!Y18:AD18,6,FALSE)),,VLOOKUP($E$189,'Val-Départ'!Y18:AD18,6,FALSE))</f>
        <v>0</v>
      </c>
      <c r="G196" s="4"/>
      <c r="H196" s="655"/>
      <c r="K196" s="21"/>
      <c r="L196" s="4"/>
      <c r="M196" s="681">
        <f>IF(ISNA(VLOOKUP($M$189,'Val-Départ'!B40:AC40,35,FALSE)),,VLOOKUP($M$189,'Val-Départ'!B40:AC40,35,FALSE))</f>
        <v>0</v>
      </c>
      <c r="N196" s="660">
        <f>IF(ISNA(VLOOKUP($M$189,'Val-Départ'!AF40:AK40,6,FALSE)),,VLOOKUP($M$189,'Val-Départ'!AF40:AK40,6,FALSE))</f>
        <v>0</v>
      </c>
      <c r="O196" s="4"/>
      <c r="P196" s="231">
        <v>40</v>
      </c>
    </row>
    <row r="197" spans="3:16" s="737" customFormat="1">
      <c r="C197" s="231">
        <v>19</v>
      </c>
      <c r="D197" s="4"/>
      <c r="E197" s="656">
        <f>IF(ISNA(VLOOKUP($E$189,'Val-Départ'!B19:W19,18,FALSE)),,VLOOKUP($E$189,'Val-Départ'!B19:W19,18,FALSE))</f>
        <v>0</v>
      </c>
      <c r="F197" s="657">
        <f>IF(ISNA(VLOOKUP($E$189,'Val-Départ'!Y19:AD19,6,FALSE)),,VLOOKUP($E$189,'Val-Départ'!Y19:AD19,6,FALSE))</f>
        <v>0</v>
      </c>
      <c r="G197" s="4"/>
      <c r="H197" s="655"/>
      <c r="K197" s="21"/>
      <c r="L197" s="4"/>
      <c r="M197" s="681">
        <f>IF(ISNA(VLOOKUP($M$189,'Val-Départ'!B41:AC41,35,FALSE)),,VLOOKUP($M$189,'Val-Départ'!B41:AC41,35,FALSE))</f>
        <v>0</v>
      </c>
      <c r="N197" s="660">
        <f>IF(ISNA(VLOOKUP($M$189,'Val-Départ'!AF41:AK41,6,FALSE)),,VLOOKUP($M$189,'Val-Départ'!AF41:AK41,6,FALSE))</f>
        <v>0</v>
      </c>
      <c r="O197" s="4"/>
      <c r="P197" s="231">
        <v>41</v>
      </c>
    </row>
    <row r="198" spans="3:16" s="737" customFormat="1">
      <c r="C198" s="231">
        <v>20</v>
      </c>
      <c r="D198" s="4"/>
      <c r="E198" s="656">
        <f>IF(ISNA(VLOOKUP($E$189,'Val-Départ'!B20:W20,18,FALSE)),,VLOOKUP($E$189,'Val-Départ'!B20:W20,18,FALSE))</f>
        <v>0</v>
      </c>
      <c r="F198" s="657">
        <f>IF(ISNA(VLOOKUP($E$189,'Val-Départ'!Y20:AD20,6,FALSE)),,VLOOKUP($E$189,'Val-Départ'!Y20:AD20,6,FALSE))</f>
        <v>0</v>
      </c>
      <c r="G198" s="4"/>
      <c r="H198" s="655"/>
      <c r="K198" s="21"/>
      <c r="L198" s="4"/>
      <c r="M198" s="681">
        <f>IF(ISNA(VLOOKUP($M$189,'Val-Départ'!B42:AC42,35,FALSE)),,VLOOKUP($M$189,'Val-Départ'!B42:AC42,35,FALSE))</f>
        <v>0</v>
      </c>
      <c r="N198" s="660">
        <f>IF(ISNA(VLOOKUP($M$189,'Val-Départ'!AF42:AK42,6,FALSE)),,VLOOKUP($M$189,'Val-Départ'!AF42:AK42,6,FALSE))</f>
        <v>0</v>
      </c>
      <c r="O198" s="4"/>
      <c r="P198" s="231">
        <v>42</v>
      </c>
    </row>
    <row r="199" spans="3:16" s="737" customFormat="1">
      <c r="C199" s="231">
        <v>21</v>
      </c>
      <c r="D199" s="4"/>
      <c r="E199" s="656">
        <f>IF(ISNA(VLOOKUP($E$189,'Val-Départ'!B21:W21,18,FALSE)),,VLOOKUP($E$189,'Val-Départ'!B21:W21,18,FALSE))</f>
        <v>0</v>
      </c>
      <c r="F199" s="657">
        <f>IF(ISNA(VLOOKUP($E$189,'Val-Départ'!Y21:AD21,6,FALSE)),,VLOOKUP($E$189,'Val-Départ'!Y21:AD21,6,FALSE))</f>
        <v>0</v>
      </c>
      <c r="G199" s="4"/>
      <c r="H199" s="655"/>
      <c r="K199" s="21"/>
      <c r="L199" s="4"/>
      <c r="M199" s="681">
        <f>IF(ISNA(VLOOKUP($M$189,'Val-Départ'!B43:AC43,35,FALSE)),,VLOOKUP($M$189,'Val-Départ'!B43:AC43,35,FALSE))</f>
        <v>0</v>
      </c>
      <c r="N199" s="660">
        <f>IF(ISNA(VLOOKUP($M$189,'Val-Départ'!AF43:AK43,6,FALSE)),,VLOOKUP($M$189,'Val-Départ'!AF43:AK43,6,FALSE))</f>
        <v>0</v>
      </c>
      <c r="O199" s="4"/>
      <c r="P199" s="231">
        <v>43</v>
      </c>
    </row>
    <row r="200" spans="3:16" s="737" customFormat="1">
      <c r="C200" s="231">
        <v>22</v>
      </c>
      <c r="D200" s="4"/>
      <c r="E200" s="656">
        <f>IF(ISNA(VLOOKUP($E$189,'Val-Départ'!B22:W22,18,FALSE)),,VLOOKUP($E$189,'Val-Départ'!B22:W22,18,FALSE))</f>
        <v>0</v>
      </c>
      <c r="F200" s="657">
        <f>IF(ISNA(VLOOKUP($E$189,'Val-Départ'!Y22:AD22,6,FALSE)),,VLOOKUP($E$189,'Val-Départ'!Y22:AD22,6,FALSE))</f>
        <v>0</v>
      </c>
      <c r="G200" s="4"/>
      <c r="H200" s="655"/>
      <c r="K200" s="21"/>
      <c r="L200" s="4"/>
      <c r="M200" s="681">
        <f>IF(ISNA(VLOOKUP($M$189,'Val-Départ'!B44:AC44,35,FALSE)),,VLOOKUP($M$189,'Val-Départ'!B44:AC44,35,FALSE))</f>
        <v>0</v>
      </c>
      <c r="N200" s="660">
        <f>IF(ISNA(VLOOKUP($M$189,'Val-Départ'!AF44:AK44,6,FALSE)),,VLOOKUP($M$189,'Val-Départ'!AF44:AK44,6,FALSE))</f>
        <v>0</v>
      </c>
      <c r="O200" s="4"/>
      <c r="P200" s="231">
        <v>44</v>
      </c>
    </row>
    <row r="201" spans="3:16" s="737" customFormat="1" ht="15.75" thickBot="1">
      <c r="C201" s="231">
        <v>23</v>
      </c>
      <c r="D201" s="4"/>
      <c r="E201" s="656">
        <f>IF(ISNA(VLOOKUP($E$189,'Val-Départ'!B23:W23,18,FALSE)),,VLOOKUP($E$189,'Val-Départ'!B23:W23,18,FALSE))</f>
        <v>0</v>
      </c>
      <c r="F201" s="657">
        <f>IF(ISNA(VLOOKUP($E$189,'Val-Départ'!Y23:AD23,6,FALSE)),,VLOOKUP($E$189,'Val-Départ'!Y23:AD23,6,FALSE))</f>
        <v>0</v>
      </c>
      <c r="G201" s="4"/>
      <c r="H201" s="655"/>
      <c r="K201" s="21"/>
      <c r="L201" s="4"/>
      <c r="M201" s="681">
        <f>IF(ISNA(VLOOKUP($M$189,'Val-Départ'!B45:AC45,35,FALSE)),,VLOOKUP($M$189,'Val-Départ'!B45:AC45,35,FALSE))</f>
        <v>0</v>
      </c>
      <c r="N201" s="660">
        <f>IF(ISNA(VLOOKUP($M$189,'Val-Départ'!AF45:AK45,6,FALSE)),,VLOOKUP($M$189,'Val-Départ'!AF45:AK45,6,FALSE))</f>
        <v>0</v>
      </c>
      <c r="O201" s="4"/>
      <c r="P201" s="231"/>
    </row>
    <row r="202" spans="3:16">
      <c r="C202" s="4"/>
      <c r="D202" s="216"/>
      <c r="E202" s="311">
        <f>SUM(E190:E195)</f>
        <v>0</v>
      </c>
      <c r="F202" s="663">
        <f>SUM(F191:F195)</f>
        <v>0</v>
      </c>
      <c r="G202" s="216"/>
      <c r="H202" s="655"/>
      <c r="I202" s="628"/>
      <c r="J202" s="628"/>
      <c r="K202" s="21"/>
      <c r="L202" s="4"/>
      <c r="M202" s="311">
        <f>SUM(M191:M195)</f>
        <v>0</v>
      </c>
      <c r="N202" s="311">
        <f>SUM(N191:N195)</f>
        <v>0</v>
      </c>
      <c r="O202" s="216"/>
      <c r="P202" s="703"/>
    </row>
    <row r="203" spans="3:16" ht="19.5" thickBot="1">
      <c r="C203" s="4"/>
      <c r="D203" s="4"/>
      <c r="E203" s="704">
        <f>E202-F202</f>
        <v>0</v>
      </c>
      <c r="F203" s="391" t="s">
        <v>463</v>
      </c>
      <c r="G203" s="391"/>
      <c r="H203" s="694"/>
      <c r="I203" s="628"/>
      <c r="J203" s="628"/>
      <c r="K203" s="21"/>
      <c r="L203" s="4"/>
      <c r="M203" s="4"/>
      <c r="N203" s="705">
        <f>(N202-M202)</f>
        <v>0</v>
      </c>
      <c r="O203" s="706" t="s">
        <v>260</v>
      </c>
      <c r="P203" s="317"/>
    </row>
  </sheetData>
  <mergeCells count="33">
    <mergeCell ref="D78:E78"/>
    <mergeCell ref="F78:G78"/>
    <mergeCell ref="L78:M78"/>
    <mergeCell ref="N78:O78"/>
    <mergeCell ref="B6:M6"/>
    <mergeCell ref="B7:N7"/>
    <mergeCell ref="F73:H73"/>
    <mergeCell ref="F27:H27"/>
    <mergeCell ref="F11:H11"/>
    <mergeCell ref="N11:O11"/>
    <mergeCell ref="D9:E9"/>
    <mergeCell ref="F9:G9"/>
    <mergeCell ref="F43:H43"/>
    <mergeCell ref="N6:U6"/>
    <mergeCell ref="Q74:R74"/>
    <mergeCell ref="D77:E77"/>
    <mergeCell ref="F77:G77"/>
    <mergeCell ref="L77:M77"/>
    <mergeCell ref="N77:O77"/>
    <mergeCell ref="Q43:R43"/>
    <mergeCell ref="F58:H58"/>
    <mergeCell ref="Q58:R58"/>
    <mergeCell ref="A2:O2"/>
    <mergeCell ref="D3:G3"/>
    <mergeCell ref="L3:O3"/>
    <mergeCell ref="B4:I4"/>
    <mergeCell ref="B5:I5"/>
    <mergeCell ref="N5:T5"/>
    <mergeCell ref="O27:Q27"/>
    <mergeCell ref="L9:M9"/>
    <mergeCell ref="N9:O9"/>
    <mergeCell ref="L10:O10"/>
    <mergeCell ref="D10:G10"/>
  </mergeCells>
  <pageMargins left="0.25" right="0.25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51"/>
  <sheetViews>
    <sheetView topLeftCell="A13" workbookViewId="0">
      <selection activeCell="K36" sqref="K36"/>
    </sheetView>
  </sheetViews>
  <sheetFormatPr baseColWidth="10" defaultRowHeight="15"/>
  <cols>
    <col min="1" max="1" width="11.42578125" style="737"/>
    <col min="2" max="2" width="4.28515625" style="737" customWidth="1"/>
    <col min="3" max="3" width="9.7109375" style="737" customWidth="1"/>
    <col min="4" max="4" width="11.42578125" style="737" customWidth="1"/>
    <col min="5" max="5" width="15.42578125" style="737" customWidth="1"/>
    <col min="6" max="6" width="14.28515625" style="737" customWidth="1"/>
    <col min="7" max="7" width="14" style="737" customWidth="1"/>
    <col min="8" max="8" width="13.7109375" style="737" customWidth="1"/>
    <col min="9" max="16384" width="11.42578125" style="737"/>
  </cols>
  <sheetData>
    <row r="2" spans="2:8" ht="15" customHeight="1">
      <c r="C2" s="1707" t="s">
        <v>510</v>
      </c>
      <c r="D2" s="1708"/>
      <c r="E2" s="1708"/>
      <c r="F2" s="1708"/>
      <c r="G2" s="1708"/>
      <c r="H2" s="1709"/>
    </row>
    <row r="3" spans="2:8" ht="15" customHeight="1" thickBot="1">
      <c r="C3" s="1710"/>
      <c r="D3" s="1711"/>
      <c r="E3" s="1711"/>
      <c r="F3" s="1711"/>
      <c r="G3" s="1711"/>
      <c r="H3" s="1712"/>
    </row>
    <row r="4" spans="2:8" ht="30.75" customHeight="1">
      <c r="C4" s="850" t="s">
        <v>509</v>
      </c>
      <c r="D4" s="842" t="s">
        <v>506</v>
      </c>
      <c r="E4" s="842" t="s">
        <v>505</v>
      </c>
      <c r="F4" s="842" t="s">
        <v>504</v>
      </c>
      <c r="G4" s="849" t="s">
        <v>503</v>
      </c>
      <c r="H4" s="848" t="s">
        <v>502</v>
      </c>
    </row>
    <row r="5" spans="2:8">
      <c r="B5" s="737">
        <v>13</v>
      </c>
      <c r="C5" s="839" t="str">
        <f>'Liv-Four-client'!E12</f>
        <v>C0001</v>
      </c>
      <c r="D5" s="839" t="str">
        <f>'Liv-Four-client'!F12</f>
        <v>Nicolas</v>
      </c>
      <c r="E5" s="940">
        <f>'Liv-Four-client'!E25</f>
        <v>1066.1500000000001</v>
      </c>
      <c r="F5" s="940">
        <f>'Liv-Four-client'!F25</f>
        <v>2565.91</v>
      </c>
      <c r="G5" s="837">
        <f>IF(E5&gt;F5,E5-F5,0)</f>
        <v>0</v>
      </c>
      <c r="H5" s="837">
        <f>IF(E5&lt;F5,F5-E5,0)</f>
        <v>1499.7599999999998</v>
      </c>
    </row>
    <row r="6" spans="2:8">
      <c r="B6" s="737">
        <v>14</v>
      </c>
      <c r="C6" s="839" t="str">
        <f>'Liv-Four-client'!E29</f>
        <v>C0002</v>
      </c>
      <c r="D6" s="839" t="str">
        <f>'Liv-Four-client'!F29</f>
        <v>Vienneau</v>
      </c>
      <c r="E6" s="839">
        <f>'Liv-Four-client'!E42</f>
        <v>758.12</v>
      </c>
      <c r="F6" s="839">
        <f>'Liv-Four-client'!F42</f>
        <v>1115.52</v>
      </c>
      <c r="G6" s="837">
        <f t="shared" ref="G6:G15" si="0">IF(E6&gt;F6,E6-F6,0)</f>
        <v>0</v>
      </c>
      <c r="H6" s="837">
        <f t="shared" ref="H6:H15" si="1">IF(E6&lt;F6,F6-E6,0)</f>
        <v>357.4</v>
      </c>
    </row>
    <row r="7" spans="2:8">
      <c r="B7" s="737">
        <v>15</v>
      </c>
      <c r="C7" s="839" t="str">
        <f>'Liv-Four-client'!E45</f>
        <v>C0003</v>
      </c>
      <c r="D7" s="839" t="str">
        <f>'Liv-Four-client'!F45</f>
        <v>Jacques</v>
      </c>
      <c r="E7" s="839">
        <f>'Liv-Four-client'!E57</f>
        <v>2142.0300000000002</v>
      </c>
      <c r="F7" s="839">
        <f>'Liv-Four-client'!F57</f>
        <v>0</v>
      </c>
      <c r="G7" s="837">
        <f t="shared" si="0"/>
        <v>2142.0300000000002</v>
      </c>
      <c r="H7" s="837">
        <f t="shared" si="1"/>
        <v>0</v>
      </c>
    </row>
    <row r="8" spans="2:8">
      <c r="B8" s="21">
        <v>16</v>
      </c>
      <c r="C8" s="839">
        <f>'Liv-Four-client'!E60</f>
        <v>0</v>
      </c>
      <c r="D8" s="839" t="str">
        <f>'Liv-Four-client'!F60</f>
        <v/>
      </c>
      <c r="E8" s="940">
        <f>'Liv-Four-client'!E72</f>
        <v>0</v>
      </c>
      <c r="F8" s="940">
        <f>'Liv-Four-client'!F72</f>
        <v>0</v>
      </c>
      <c r="G8" s="837">
        <f t="shared" si="0"/>
        <v>0</v>
      </c>
      <c r="H8" s="837">
        <f t="shared" si="1"/>
        <v>0</v>
      </c>
    </row>
    <row r="9" spans="2:8">
      <c r="B9" s="21">
        <v>17</v>
      </c>
      <c r="C9" s="839">
        <f>'Liv-Four-client'!E80</f>
        <v>0</v>
      </c>
      <c r="D9" s="839" t="str">
        <f>'Liv-Four-client'!F80</f>
        <v/>
      </c>
      <c r="E9" s="940">
        <f>'Liv-Four-client'!E93</f>
        <v>0</v>
      </c>
      <c r="F9" s="940">
        <f>'Liv-Four-client'!F93</f>
        <v>0</v>
      </c>
      <c r="G9" s="837">
        <f t="shared" si="0"/>
        <v>0</v>
      </c>
      <c r="H9" s="837">
        <f t="shared" si="1"/>
        <v>0</v>
      </c>
    </row>
    <row r="10" spans="2:8">
      <c r="B10" s="21">
        <v>18</v>
      </c>
      <c r="C10" s="839">
        <f>'Liv-Four-client'!E101</f>
        <v>0</v>
      </c>
      <c r="D10" s="839" t="str">
        <f>'Liv-Four-client'!F101</f>
        <v/>
      </c>
      <c r="E10" s="940">
        <f>'Liv-Four-client'!E114</f>
        <v>0</v>
      </c>
      <c r="F10" s="940">
        <f>'Liv-Four-client'!F114</f>
        <v>0</v>
      </c>
      <c r="G10" s="837">
        <f t="shared" si="0"/>
        <v>0</v>
      </c>
      <c r="H10" s="837">
        <f t="shared" si="1"/>
        <v>0</v>
      </c>
    </row>
    <row r="11" spans="2:8">
      <c r="B11" s="21">
        <v>19</v>
      </c>
      <c r="C11" s="839">
        <f>'Liv-Four-client'!E119</f>
        <v>0</v>
      </c>
      <c r="D11" s="940">
        <f>'Liv-Four-client'!F114</f>
        <v>0</v>
      </c>
      <c r="E11" s="940">
        <f>'Liv-Four-client'!E132</f>
        <v>0</v>
      </c>
      <c r="F11" s="940">
        <f>'Liv-Four-client'!F132</f>
        <v>0</v>
      </c>
      <c r="G11" s="837">
        <f t="shared" si="0"/>
        <v>0</v>
      </c>
      <c r="H11" s="837">
        <f t="shared" si="1"/>
        <v>0</v>
      </c>
    </row>
    <row r="12" spans="2:8">
      <c r="B12" s="21">
        <v>20</v>
      </c>
      <c r="C12" s="839">
        <f>'Liv-Four-client'!E136</f>
        <v>0</v>
      </c>
      <c r="D12" s="839" t="str">
        <f>'Liv-Four-client'!F136</f>
        <v/>
      </c>
      <c r="E12" s="940">
        <f>'Liv-Four-client'!E149</f>
        <v>0</v>
      </c>
      <c r="F12" s="940">
        <f>'Liv-Four-client'!F149</f>
        <v>0</v>
      </c>
      <c r="G12" s="837">
        <f t="shared" si="0"/>
        <v>0</v>
      </c>
      <c r="H12" s="837">
        <f t="shared" si="1"/>
        <v>0</v>
      </c>
    </row>
    <row r="13" spans="2:8">
      <c r="B13" s="21">
        <v>21</v>
      </c>
      <c r="C13" s="839">
        <f>'Liv-Four-client'!E154</f>
        <v>0</v>
      </c>
      <c r="D13" s="839" t="str">
        <f>'Liv-Four-client'!F154</f>
        <v/>
      </c>
      <c r="E13" s="940">
        <f>'Liv-Four-client'!E167</f>
        <v>0</v>
      </c>
      <c r="F13" s="940">
        <f>'Liv-Four-client'!F167</f>
        <v>0</v>
      </c>
      <c r="G13" s="837">
        <f t="shared" si="0"/>
        <v>0</v>
      </c>
      <c r="H13" s="837">
        <f t="shared" si="1"/>
        <v>0</v>
      </c>
    </row>
    <row r="14" spans="2:8">
      <c r="B14" s="21">
        <v>22</v>
      </c>
      <c r="C14" s="839">
        <f>'Liv-Four-client'!E171</f>
        <v>0</v>
      </c>
      <c r="D14" s="839" t="str">
        <f>'Liv-Four-client'!F171</f>
        <v/>
      </c>
      <c r="E14" s="940">
        <f>'Liv-Four-client'!E184</f>
        <v>0</v>
      </c>
      <c r="F14" s="940">
        <f>'Liv-Four-client'!F184</f>
        <v>0</v>
      </c>
      <c r="G14" s="837">
        <f t="shared" si="0"/>
        <v>0</v>
      </c>
      <c r="H14" s="837">
        <f t="shared" si="1"/>
        <v>0</v>
      </c>
    </row>
    <row r="15" spans="2:8">
      <c r="B15" s="939">
        <v>23</v>
      </c>
      <c r="C15" s="940">
        <f>'Liv-Four-client'!E184</f>
        <v>0</v>
      </c>
      <c r="D15" s="940">
        <f>'Liv-Four-client'!F184</f>
        <v>0</v>
      </c>
      <c r="E15" s="940">
        <f>'Liv-Four-client'!E202</f>
        <v>0</v>
      </c>
      <c r="F15" s="940">
        <f>'Liv-Four-client'!F202</f>
        <v>0</v>
      </c>
      <c r="G15" s="837">
        <f t="shared" si="0"/>
        <v>0</v>
      </c>
      <c r="H15" s="837">
        <f t="shared" si="1"/>
        <v>0</v>
      </c>
    </row>
    <row r="16" spans="2:8" ht="15.75" thickBot="1">
      <c r="C16" s="847" t="s">
        <v>412</v>
      </c>
      <c r="D16" s="3"/>
      <c r="E16" s="846">
        <f>SUM(E5:E8)</f>
        <v>3966.3</v>
      </c>
      <c r="F16" s="845">
        <f>SUM(F5:F8)</f>
        <v>3681.43</v>
      </c>
      <c r="G16" s="844">
        <f>SUM(G5:G8)</f>
        <v>2142.0300000000002</v>
      </c>
      <c r="H16" s="843">
        <f>SUM(H5:H8)</f>
        <v>1857.1599999999999</v>
      </c>
    </row>
    <row r="17" spans="2:8">
      <c r="C17" s="216"/>
      <c r="D17" s="1716"/>
      <c r="E17" s="1716"/>
      <c r="F17" s="1716"/>
      <c r="G17" s="1716"/>
      <c r="H17" s="1716"/>
    </row>
    <row r="18" spans="2:8" ht="18.75">
      <c r="C18" s="1715" t="s">
        <v>508</v>
      </c>
      <c r="D18" s="1715"/>
      <c r="E18" s="1715"/>
      <c r="F18" s="1715"/>
      <c r="G18" s="1715"/>
      <c r="H18" s="1715"/>
    </row>
    <row r="19" spans="2:8">
      <c r="D19" s="1718"/>
      <c r="E19" s="1718"/>
      <c r="F19" s="1718"/>
      <c r="G19" s="1718"/>
      <c r="H19" s="1718"/>
    </row>
    <row r="21" spans="2:8" ht="15" customHeight="1">
      <c r="C21" s="1707" t="s">
        <v>507</v>
      </c>
      <c r="D21" s="1708"/>
      <c r="E21" s="1708"/>
      <c r="F21" s="1708"/>
      <c r="G21" s="1708"/>
      <c r="H21" s="1709"/>
    </row>
    <row r="22" spans="2:8" ht="15.75" customHeight="1" thickBot="1">
      <c r="C22" s="1713"/>
      <c r="D22" s="1669"/>
      <c r="E22" s="1669"/>
      <c r="F22" s="1669"/>
      <c r="G22" s="1669"/>
      <c r="H22" s="1714"/>
    </row>
    <row r="23" spans="2:8" ht="30">
      <c r="C23" s="841" t="s">
        <v>506</v>
      </c>
      <c r="D23" s="842" t="s">
        <v>506</v>
      </c>
      <c r="E23" s="841" t="s">
        <v>505</v>
      </c>
      <c r="F23" s="841" t="s">
        <v>504</v>
      </c>
      <c r="G23" s="840" t="s">
        <v>503</v>
      </c>
      <c r="H23" s="840" t="s">
        <v>502</v>
      </c>
    </row>
    <row r="24" spans="2:8">
      <c r="B24" s="737">
        <v>35</v>
      </c>
      <c r="C24" s="839" t="str">
        <f>'Liv-Four-client'!M12</f>
        <v>F0001</v>
      </c>
      <c r="D24" s="839" t="str">
        <f>'Liv-Four-client'!N12</f>
        <v>Feromat</v>
      </c>
      <c r="E24" s="940">
        <f>'Liv-Four-client'!M25</f>
        <v>550</v>
      </c>
      <c r="F24" s="940">
        <f>'Liv-Four-client'!N25</f>
        <v>899.85</v>
      </c>
      <c r="G24" s="838">
        <f>IF(E24&gt;F24,E24-F24,0)</f>
        <v>0</v>
      </c>
      <c r="H24" s="837">
        <f>IF(E24&lt;F24,F24-E24,0)</f>
        <v>349.85</v>
      </c>
    </row>
    <row r="25" spans="2:8">
      <c r="B25" s="737">
        <v>36</v>
      </c>
      <c r="C25" s="839" t="str">
        <f>'Liv-Four-client'!M29</f>
        <v>F0002</v>
      </c>
      <c r="D25" s="839" t="str">
        <f>'Liv-Four-client'!N29</f>
        <v>Durand</v>
      </c>
      <c r="E25" s="940">
        <f>'Liv-Four-client'!M42</f>
        <v>550</v>
      </c>
      <c r="F25" s="940">
        <f>'Liv-Four-client'!N42</f>
        <v>2804.2799999999997</v>
      </c>
      <c r="G25" s="835">
        <f>IF(E25&gt;F25,E25-F25,0)</f>
        <v>0</v>
      </c>
      <c r="H25" s="830">
        <f>IF(E25&lt;F25,F25-E25,0)</f>
        <v>2254.2799999999997</v>
      </c>
    </row>
    <row r="26" spans="2:8">
      <c r="B26" s="737">
        <v>37</v>
      </c>
      <c r="C26" s="839" t="str">
        <f>'Liv-Four-client'!M45</f>
        <v>F0003</v>
      </c>
      <c r="D26" s="839" t="str">
        <f>'Liv-Four-client'!N45</f>
        <v>Pierre</v>
      </c>
      <c r="E26" s="940">
        <f>'Liv-Four-client'!M57</f>
        <v>550</v>
      </c>
      <c r="F26" s="940">
        <f>'Liv-Four-client'!N57</f>
        <v>1859.2</v>
      </c>
      <c r="G26" s="835">
        <f>IF(E26&gt;F26,E26-F26,0)</f>
        <v>0</v>
      </c>
      <c r="H26" s="830">
        <f>IF(E26&lt;F26,F26-E26,0)</f>
        <v>1309.2</v>
      </c>
    </row>
    <row r="27" spans="2:8">
      <c r="B27" s="21">
        <v>38</v>
      </c>
      <c r="C27" s="839">
        <f>'Liv-Four-client'!M60</f>
        <v>0</v>
      </c>
      <c r="D27" s="839" t="str">
        <f>'Liv-Four-client'!N60</f>
        <v/>
      </c>
      <c r="E27" s="940">
        <f>'Liv-Four-client'!M72</f>
        <v>0</v>
      </c>
      <c r="F27" s="940">
        <f>'Liv-Four-client'!N72</f>
        <v>0</v>
      </c>
      <c r="G27" s="835">
        <f t="shared" ref="G27:G34" si="2">IF(E27&gt;F27,E27-F27,0)</f>
        <v>0</v>
      </c>
      <c r="H27" s="830">
        <f t="shared" ref="H27:H34" si="3">IF(E27&lt;F27,F27-E27,0)</f>
        <v>0</v>
      </c>
    </row>
    <row r="28" spans="2:8">
      <c r="B28" s="21">
        <v>39</v>
      </c>
      <c r="C28" s="839">
        <f>'Liv-Four-client'!M80</f>
        <v>0</v>
      </c>
      <c r="D28" s="839" t="str">
        <f>'Liv-Four-client'!N80</f>
        <v/>
      </c>
      <c r="E28" s="940">
        <f>'Liv-Four-client'!M93</f>
        <v>0</v>
      </c>
      <c r="F28" s="940">
        <f>'Liv-Four-client'!N93</f>
        <v>0</v>
      </c>
      <c r="G28" s="835">
        <f t="shared" si="2"/>
        <v>0</v>
      </c>
      <c r="H28" s="830">
        <f t="shared" si="3"/>
        <v>0</v>
      </c>
    </row>
    <row r="29" spans="2:8">
      <c r="B29" s="21">
        <v>40</v>
      </c>
      <c r="C29" s="839">
        <f>'Liv-Four-client'!M101</f>
        <v>0</v>
      </c>
      <c r="D29" s="839" t="str">
        <f>'Liv-Four-client'!N101</f>
        <v/>
      </c>
      <c r="E29" s="940">
        <f>'Liv-Four-client'!M114</f>
        <v>0</v>
      </c>
      <c r="F29" s="940">
        <f>'Liv-Four-client'!N114</f>
        <v>0</v>
      </c>
      <c r="G29" s="835">
        <f t="shared" si="2"/>
        <v>0</v>
      </c>
      <c r="H29" s="830">
        <f t="shared" si="3"/>
        <v>0</v>
      </c>
    </row>
    <row r="30" spans="2:8">
      <c r="B30" s="21">
        <v>41</v>
      </c>
      <c r="C30" s="839">
        <f>'Liv-Four-client'!M119</f>
        <v>0</v>
      </c>
      <c r="D30" s="839" t="str">
        <f>'Liv-Four-client'!N119</f>
        <v/>
      </c>
      <c r="E30" s="940">
        <f>'Liv-Four-client'!M132</f>
        <v>0</v>
      </c>
      <c r="F30" s="940">
        <f>'Liv-Four-client'!N132</f>
        <v>0</v>
      </c>
      <c r="G30" s="835">
        <f t="shared" si="2"/>
        <v>0</v>
      </c>
      <c r="H30" s="830">
        <f t="shared" si="3"/>
        <v>0</v>
      </c>
    </row>
    <row r="31" spans="2:8">
      <c r="B31" s="21">
        <v>42</v>
      </c>
      <c r="C31" s="839">
        <f>'Liv-Four-client'!M136</f>
        <v>0</v>
      </c>
      <c r="D31" s="839" t="str">
        <f>'Liv-Four-client'!N136</f>
        <v/>
      </c>
      <c r="E31" s="940">
        <f>'Liv-Four-client'!M149</f>
        <v>0</v>
      </c>
      <c r="F31" s="940">
        <f>'Liv-Four-client'!N149</f>
        <v>0</v>
      </c>
      <c r="G31" s="835">
        <f t="shared" si="2"/>
        <v>0</v>
      </c>
      <c r="H31" s="830">
        <f t="shared" si="3"/>
        <v>0</v>
      </c>
    </row>
    <row r="32" spans="2:8">
      <c r="B32" s="21">
        <v>43</v>
      </c>
      <c r="C32" s="839">
        <f>'Liv-Four-client'!M154</f>
        <v>0</v>
      </c>
      <c r="D32" s="839" t="str">
        <f>'Liv-Four-client'!N154</f>
        <v/>
      </c>
      <c r="E32" s="940">
        <f>'Liv-Four-client'!M167</f>
        <v>0</v>
      </c>
      <c r="F32" s="940">
        <f>'Liv-Four-client'!N167</f>
        <v>0</v>
      </c>
      <c r="G32" s="835">
        <f t="shared" si="2"/>
        <v>0</v>
      </c>
      <c r="H32" s="830">
        <f t="shared" si="3"/>
        <v>0</v>
      </c>
    </row>
    <row r="33" spans="1:10">
      <c r="B33" s="21">
        <v>44</v>
      </c>
      <c r="C33" s="839">
        <f>'Liv-Four-client'!M171</f>
        <v>0</v>
      </c>
      <c r="D33" s="839" t="str">
        <f>'Liv-Four-client'!N171</f>
        <v/>
      </c>
      <c r="E33" s="940">
        <f>'Liv-Four-client'!M184</f>
        <v>0</v>
      </c>
      <c r="F33" s="940">
        <f>'Liv-Four-client'!N184</f>
        <v>0</v>
      </c>
      <c r="G33" s="835">
        <f t="shared" si="2"/>
        <v>0</v>
      </c>
      <c r="H33" s="830">
        <f t="shared" si="3"/>
        <v>0</v>
      </c>
    </row>
    <row r="34" spans="1:10" ht="15.75" thickBot="1">
      <c r="B34" s="21"/>
      <c r="C34" s="966">
        <f>'Liv-Four-client'!M189</f>
        <v>0</v>
      </c>
      <c r="D34" s="966" t="str">
        <f>'Liv-Four-client'!N189</f>
        <v/>
      </c>
      <c r="E34" s="967">
        <f>'Liv-Four-client'!M202</f>
        <v>0</v>
      </c>
      <c r="F34" s="967">
        <f>'Liv-Four-client'!N202</f>
        <v>0</v>
      </c>
      <c r="G34" s="833">
        <f t="shared" si="2"/>
        <v>0</v>
      </c>
      <c r="H34" s="832">
        <f t="shared" si="3"/>
        <v>0</v>
      </c>
    </row>
    <row r="35" spans="1:10">
      <c r="B35" s="21"/>
      <c r="C35" s="836"/>
      <c r="D35" s="836"/>
      <c r="E35" s="824"/>
      <c r="F35" s="965"/>
      <c r="G35" s="835"/>
      <c r="H35" s="830"/>
    </row>
    <row r="36" spans="1:10">
      <c r="C36" s="42"/>
      <c r="D36" s="831">
        <f>SUM(D24:D33)</f>
        <v>0</v>
      </c>
      <c r="E36" s="830">
        <f>SUM(E24:E33)</f>
        <v>1650</v>
      </c>
      <c r="F36" s="830">
        <f>SUM(F24:F33)</f>
        <v>5563.33</v>
      </c>
      <c r="G36" s="830">
        <f>SUM(G24:G33)</f>
        <v>0</v>
      </c>
      <c r="H36" s="829">
        <f>SUM(H24:H33)</f>
        <v>3913.33</v>
      </c>
    </row>
    <row r="37" spans="1:10">
      <c r="C37" s="43"/>
      <c r="D37" s="43"/>
      <c r="E37" s="1717"/>
      <c r="F37" s="1717"/>
      <c r="G37" s="1717"/>
      <c r="H37" s="1717"/>
    </row>
    <row r="39" spans="1:10" ht="18.75">
      <c r="A39" s="4"/>
      <c r="B39" s="4"/>
      <c r="C39" s="1715" t="s">
        <v>501</v>
      </c>
      <c r="D39" s="1715"/>
      <c r="E39" s="1715"/>
      <c r="F39" s="1715"/>
      <c r="G39" s="1715"/>
      <c r="H39" s="1715"/>
      <c r="I39" s="4"/>
      <c r="J39" s="4"/>
    </row>
    <row r="40" spans="1:10" ht="15" customHeight="1">
      <c r="A40" s="4"/>
      <c r="B40" s="4"/>
      <c r="C40" s="4"/>
      <c r="D40" s="700"/>
      <c r="E40" s="700"/>
      <c r="F40" s="700"/>
      <c r="G40" s="700"/>
      <c r="H40" s="4"/>
      <c r="I40" s="4"/>
      <c r="J40" s="4"/>
    </row>
    <row r="41" spans="1:10" ht="11.25" hidden="1" customHeight="1" thickBot="1">
      <c r="A41" s="4"/>
      <c r="B41" s="4"/>
      <c r="C41" s="4"/>
      <c r="D41" s="700"/>
      <c r="E41" s="700"/>
      <c r="F41" s="700"/>
      <c r="G41" s="700"/>
      <c r="H41" s="4"/>
      <c r="I41" s="4"/>
      <c r="J41" s="4"/>
    </row>
    <row r="42" spans="1:10" ht="37.5" customHeight="1">
      <c r="A42" s="4"/>
      <c r="B42" s="4"/>
      <c r="C42" s="826"/>
      <c r="D42" s="828"/>
      <c r="E42" s="828"/>
      <c r="F42" s="828"/>
      <c r="G42" s="827"/>
      <c r="H42" s="826"/>
      <c r="I42" s="4"/>
      <c r="J42" s="4"/>
    </row>
    <row r="43" spans="1:10" ht="28.5" customHeight="1">
      <c r="A43" s="4"/>
      <c r="B43" s="4"/>
      <c r="C43" s="826"/>
      <c r="D43" s="828"/>
      <c r="E43" s="828"/>
      <c r="F43" s="828"/>
      <c r="G43" s="827"/>
      <c r="H43" s="826"/>
      <c r="I43" s="4"/>
      <c r="J43" s="4"/>
    </row>
    <row r="44" spans="1:10">
      <c r="A44" s="4"/>
      <c r="B44" s="4"/>
      <c r="C44" s="103"/>
      <c r="D44" s="4"/>
      <c r="E44" s="4"/>
      <c r="F44" s="168"/>
      <c r="G44" s="223"/>
      <c r="H44" s="223"/>
      <c r="I44" s="4"/>
      <c r="J44" s="4"/>
    </row>
    <row r="45" spans="1:10">
      <c r="A45" s="4"/>
      <c r="B45" s="4"/>
      <c r="C45" s="103"/>
      <c r="D45" s="4"/>
      <c r="E45" s="4"/>
      <c r="F45" s="168"/>
      <c r="G45" s="223"/>
      <c r="H45" s="223"/>
      <c r="I45" s="4"/>
      <c r="J45" s="4"/>
    </row>
    <row r="46" spans="1:10">
      <c r="A46" s="4"/>
      <c r="B46" s="4"/>
      <c r="C46" s="103"/>
      <c r="D46" s="4"/>
      <c r="E46" s="168"/>
      <c r="F46" s="4"/>
      <c r="G46" s="223"/>
      <c r="H46" s="223"/>
      <c r="I46" s="4"/>
      <c r="J46" s="4"/>
    </row>
    <row r="47" spans="1:10">
      <c r="A47" s="4"/>
      <c r="B47" s="4"/>
      <c r="C47" s="103"/>
      <c r="D47" s="4"/>
      <c r="E47" s="168"/>
      <c r="F47" s="4"/>
      <c r="G47" s="223"/>
      <c r="H47" s="223"/>
      <c r="I47" s="4"/>
      <c r="J47" s="4"/>
    </row>
    <row r="48" spans="1:10">
      <c r="A48" s="4"/>
      <c r="B48" s="4"/>
      <c r="C48" s="4"/>
      <c r="D48" s="4"/>
      <c r="E48" s="168"/>
      <c r="F48" s="223"/>
      <c r="G48" s="223"/>
      <c r="H48" s="223"/>
      <c r="I48" s="4"/>
      <c r="J48" s="4"/>
    </row>
    <row r="49" spans="1:10">
      <c r="A49" s="4"/>
      <c r="B49" s="4"/>
      <c r="C49" s="4"/>
      <c r="D49" s="4"/>
      <c r="E49" s="139"/>
      <c r="F49" s="139"/>
      <c r="G49" s="139"/>
      <c r="H49" s="139"/>
      <c r="I49" s="4"/>
      <c r="J49" s="4"/>
    </row>
    <row r="50" spans="1:10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>
      <c r="A51" s="4"/>
      <c r="B51" s="4"/>
      <c r="C51" s="4"/>
      <c r="D51" s="4"/>
      <c r="E51" s="4"/>
      <c r="F51" s="4"/>
      <c r="G51" s="4"/>
      <c r="H51" s="4"/>
      <c r="I51" s="4"/>
      <c r="J51" s="4"/>
    </row>
  </sheetData>
  <mergeCells count="9">
    <mergeCell ref="C2:H3"/>
    <mergeCell ref="C21:H22"/>
    <mergeCell ref="C39:H39"/>
    <mergeCell ref="C18:H18"/>
    <mergeCell ref="G17:H17"/>
    <mergeCell ref="E37:F37"/>
    <mergeCell ref="G37:H37"/>
    <mergeCell ref="D17:F17"/>
    <mergeCell ref="D19:H1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AR283"/>
  <sheetViews>
    <sheetView topLeftCell="M159" zoomScale="115" zoomScaleNormal="115" workbookViewId="0">
      <selection activeCell="Q161" sqref="Q161"/>
    </sheetView>
  </sheetViews>
  <sheetFormatPr baseColWidth="10" defaultColWidth="11.42578125" defaultRowHeight="15"/>
  <cols>
    <col min="1" max="1" width="5.7109375" customWidth="1"/>
    <col min="2" max="2" width="14.140625" customWidth="1"/>
    <col min="3" max="3" width="16.7109375" customWidth="1"/>
    <col min="4" max="4" width="4" customWidth="1"/>
    <col min="5" max="5" width="2.85546875" customWidth="1"/>
    <col min="6" max="6" width="4.7109375" customWidth="1"/>
    <col min="7" max="7" width="16.7109375" customWidth="1"/>
    <col min="8" max="8" width="17.42578125" customWidth="1"/>
    <col min="9" max="9" width="4.28515625" customWidth="1"/>
    <col min="10" max="10" width="2.7109375" customWidth="1"/>
    <col min="11" max="11" width="4.85546875" style="4" customWidth="1"/>
    <col min="12" max="12" width="12.140625" customWidth="1"/>
    <col min="13" max="13" width="17.28515625" customWidth="1"/>
    <col min="14" max="14" width="4" customWidth="1"/>
    <col min="15" max="15" width="17.28515625" customWidth="1"/>
    <col min="16" max="16" width="15.5703125" customWidth="1"/>
    <col min="17" max="17" width="12.5703125" style="6" customWidth="1"/>
    <col min="18" max="18" width="16" customWidth="1"/>
    <col min="19" max="19" width="3" customWidth="1"/>
    <col min="20" max="20" width="3.28515625" customWidth="1"/>
    <col min="21" max="21" width="2.42578125" customWidth="1"/>
    <col min="22" max="22" width="14.7109375" customWidth="1"/>
    <col min="23" max="23" width="16.7109375" customWidth="1"/>
    <col min="24" max="25" width="2.42578125" customWidth="1"/>
    <col min="26" max="26" width="2.7109375" customWidth="1"/>
    <col min="28" max="28" width="12.28515625" customWidth="1"/>
    <col min="29" max="29" width="2.42578125" customWidth="1"/>
    <col min="30" max="30" width="1.140625" customWidth="1"/>
    <col min="31" max="31" width="2.85546875" customWidth="1"/>
    <col min="33" max="33" width="12.85546875" customWidth="1"/>
    <col min="34" max="34" width="2.5703125" customWidth="1"/>
    <col min="35" max="35" width="1.140625" customWidth="1"/>
    <col min="36" max="36" width="2.85546875" customWidth="1"/>
    <col min="38" max="38" width="13.140625" customWidth="1"/>
    <col min="39" max="39" width="3.140625" customWidth="1"/>
    <col min="40" max="40" width="1.42578125" customWidth="1"/>
    <col min="41" max="41" width="2.85546875" customWidth="1"/>
    <col min="44" max="44" width="2.85546875" customWidth="1"/>
    <col min="45" max="45" width="1.7109375" customWidth="1"/>
    <col min="46" max="46" width="3.140625" customWidth="1"/>
    <col min="49" max="49" width="2.5703125" customWidth="1"/>
  </cols>
  <sheetData>
    <row r="1" spans="1:19" s="11" customFormat="1" ht="14.1" customHeight="1" thickBot="1">
      <c r="A1" s="1739" t="s">
        <v>302</v>
      </c>
      <c r="B1" s="1739"/>
      <c r="C1" s="1739"/>
      <c r="D1" s="1739"/>
      <c r="E1" s="1739"/>
      <c r="F1" s="1739"/>
      <c r="G1" s="343"/>
      <c r="H1" s="26"/>
      <c r="I1" s="26"/>
      <c r="Q1" s="352"/>
      <c r="R1" s="26"/>
    </row>
    <row r="2" spans="1:19" ht="14.1" customHeight="1" thickBot="1">
      <c r="A2" s="4"/>
      <c r="B2" s="336" t="s">
        <v>1870</v>
      </c>
      <c r="C2" s="342"/>
      <c r="D2" s="4"/>
      <c r="E2" s="4"/>
      <c r="F2" s="4"/>
      <c r="G2" s="4"/>
      <c r="H2" s="4"/>
      <c r="I2" s="4"/>
      <c r="J2" s="177"/>
      <c r="N2" s="1739" t="s">
        <v>301</v>
      </c>
      <c r="O2" s="1739"/>
      <c r="P2" s="1739"/>
      <c r="Q2" s="1739"/>
      <c r="R2" s="343"/>
      <c r="S2" s="343"/>
    </row>
    <row r="3" spans="1:19" ht="14.1" customHeight="1" thickBot="1">
      <c r="A3" s="189" t="s">
        <v>257</v>
      </c>
      <c r="B3" s="316">
        <v>237</v>
      </c>
      <c r="C3" s="341" t="s">
        <v>300</v>
      </c>
      <c r="D3" s="186" t="s">
        <v>256</v>
      </c>
      <c r="E3" s="340"/>
      <c r="F3" s="12"/>
      <c r="G3" s="12"/>
      <c r="H3" s="12"/>
      <c r="I3" s="12"/>
      <c r="J3" s="339"/>
      <c r="N3" s="177"/>
      <c r="O3" s="177"/>
      <c r="P3" s="4"/>
      <c r="Q3" s="5"/>
      <c r="R3" s="4"/>
      <c r="S3" s="4"/>
    </row>
    <row r="4" spans="1:19" ht="14.1" customHeight="1" thickBot="1">
      <c r="A4" s="337" t="s">
        <v>278</v>
      </c>
      <c r="B4" s="263">
        <f>IF(ISNA(VLOOKUP($C$3,'Val-Départ'!$J$3:$O$8,6,FALSE)),,VLOOKUP($C$3,'Val-Départ'!$J$3:$O$8,6,FALSE))</f>
        <v>0</v>
      </c>
      <c r="D4" s="177"/>
      <c r="E4" s="177"/>
      <c r="F4" s="4"/>
      <c r="G4" s="4"/>
      <c r="H4" s="4"/>
      <c r="I4" s="4"/>
      <c r="J4" s="4"/>
      <c r="N4" s="12" t="s">
        <v>266</v>
      </c>
      <c r="O4" s="32">
        <v>100</v>
      </c>
      <c r="P4" s="338" t="s">
        <v>299</v>
      </c>
      <c r="Q4" s="353" t="s">
        <v>264</v>
      </c>
      <c r="R4" s="4"/>
    </row>
    <row r="5" spans="1:19" ht="14.1" customHeight="1">
      <c r="A5" s="283">
        <v>35</v>
      </c>
      <c r="B5" s="327">
        <f>IF(ISNA(VLOOKUP($C$3,'Val-Départ'!G35:AA35,11,FALSE)),,VLOOKUP($C$3,'Val-Départ'!G35:AA35,11,FALSE))</f>
        <v>743.68</v>
      </c>
      <c r="C5" s="331"/>
      <c r="D5" s="177"/>
      <c r="E5" s="177"/>
      <c r="F5" s="4"/>
      <c r="G5" s="4"/>
      <c r="H5" s="4"/>
      <c r="I5" s="4"/>
      <c r="J5" s="4"/>
      <c r="N5" s="335"/>
      <c r="O5" s="334" t="s">
        <v>298</v>
      </c>
      <c r="P5" s="263">
        <f>IF(ISNA(VLOOKUP($P$4,'Val-Départ'!$T$3:$W$8,4,FALSE)),,VLOOKUP($P$4,'Val-Départ'!$T$3:$W$8,4,FALSE))</f>
        <v>12394.69</v>
      </c>
      <c r="Q5" s="354" t="s">
        <v>278</v>
      </c>
      <c r="R5" s="168"/>
    </row>
    <row r="6" spans="1:19" s="737" customFormat="1" ht="14.1" customHeight="1">
      <c r="A6" s="1461">
        <v>36</v>
      </c>
      <c r="B6" s="327">
        <f>IF(ISNA(VLOOKUP($C$3,'Val-Départ'!G36:AA36,11,FALSE)),,VLOOKUP($C$3,'Val-Départ'!G36:AA36,11,FALSE))</f>
        <v>0</v>
      </c>
      <c r="C6" s="331"/>
      <c r="D6" s="177"/>
      <c r="E6" s="177"/>
      <c r="F6" s="4"/>
      <c r="G6" s="4"/>
      <c r="H6" s="4"/>
      <c r="I6" s="4"/>
      <c r="J6" s="4"/>
      <c r="K6" s="4"/>
      <c r="N6" s="4"/>
      <c r="O6" s="1467"/>
      <c r="P6" s="184"/>
      <c r="Q6" s="355"/>
      <c r="R6" s="168"/>
    </row>
    <row r="7" spans="1:19" s="737" customFormat="1" ht="14.1" customHeight="1">
      <c r="A7" s="1461">
        <v>37</v>
      </c>
      <c r="B7" s="327">
        <f>IF(ISNA(VLOOKUP($C$3,'Val-Départ'!G37:AA37,11,FALSE)),,VLOOKUP($C$3,'Val-Départ'!G37:AA37,11,FALSE))</f>
        <v>0</v>
      </c>
      <c r="C7" s="331"/>
      <c r="D7" s="177"/>
      <c r="E7" s="177"/>
      <c r="F7" s="4"/>
      <c r="G7" s="4"/>
      <c r="H7" s="4"/>
      <c r="I7" s="4"/>
      <c r="J7" s="4"/>
      <c r="K7" s="4"/>
      <c r="N7" s="4"/>
      <c r="O7" s="1467"/>
      <c r="P7" s="184"/>
      <c r="Q7" s="355"/>
      <c r="R7" s="168"/>
    </row>
    <row r="8" spans="1:19" s="737" customFormat="1" ht="14.1" customHeight="1">
      <c r="A8" s="1461">
        <v>38</v>
      </c>
      <c r="B8" s="327">
        <f>IF(ISNA(VLOOKUP($C$3,'Val-Départ'!G38:AA38,11,FALSE)),,VLOOKUP($C$3,'Val-Départ'!G38:AA38,11,FALSE))</f>
        <v>0</v>
      </c>
      <c r="C8" s="331"/>
      <c r="D8" s="177"/>
      <c r="E8" s="177"/>
      <c r="F8" s="4"/>
      <c r="G8" s="4"/>
      <c r="H8" s="4"/>
      <c r="I8" s="4"/>
      <c r="J8" s="4"/>
      <c r="K8" s="4"/>
      <c r="N8" s="4"/>
      <c r="O8" s="1467"/>
      <c r="P8" s="184"/>
      <c r="Q8" s="355"/>
      <c r="R8" s="168"/>
    </row>
    <row r="9" spans="1:19" s="737" customFormat="1" ht="14.1" customHeight="1">
      <c r="A9" s="1461">
        <v>39</v>
      </c>
      <c r="B9" s="327">
        <f>IF(ISNA(VLOOKUP($C$3,'Val-Départ'!G39:AA39,11,FALSE)),,VLOOKUP($C$3,'Val-Départ'!G39:AA39,11,FALSE))</f>
        <v>0</v>
      </c>
      <c r="C9" s="331"/>
      <c r="D9" s="177"/>
      <c r="E9" s="177"/>
      <c r="F9" s="4"/>
      <c r="G9" s="4"/>
      <c r="H9" s="4"/>
      <c r="I9" s="4"/>
      <c r="J9" s="4"/>
      <c r="K9" s="4"/>
      <c r="N9" s="4"/>
      <c r="O9" s="1467"/>
      <c r="P9" s="184"/>
      <c r="Q9" s="355"/>
      <c r="R9" s="168"/>
    </row>
    <row r="10" spans="1:19" s="737" customFormat="1" ht="14.1" customHeight="1">
      <c r="A10" s="1461">
        <v>40</v>
      </c>
      <c r="B10" s="327">
        <f>IF(ISNA(VLOOKUP($C$3,'Val-Départ'!G40:AA40,11,FALSE)),,VLOOKUP($C$3,'Val-Départ'!G40:AA40,11,FALSE))</f>
        <v>0</v>
      </c>
      <c r="C10" s="331"/>
      <c r="D10" s="177"/>
      <c r="E10" s="177"/>
      <c r="F10" s="4"/>
      <c r="G10" s="4"/>
      <c r="H10" s="4"/>
      <c r="I10" s="4"/>
      <c r="J10" s="4"/>
      <c r="K10" s="4"/>
      <c r="N10" s="4"/>
      <c r="O10" s="1467"/>
      <c r="P10" s="184"/>
      <c r="Q10" s="355"/>
      <c r="R10" s="168"/>
    </row>
    <row r="11" spans="1:19" ht="14.1" customHeight="1">
      <c r="A11" s="283">
        <v>41</v>
      </c>
      <c r="B11" s="327">
        <f>IF(ISNA(VLOOKUP($C$3,'Val-Départ'!G41:AA41,11,FALSE)),,VLOOKUP($C$3,'Val-Départ'!G41:AA41,11,FALSE))</f>
        <v>0</v>
      </c>
      <c r="C11" s="331"/>
      <c r="D11" s="177"/>
      <c r="E11" s="177"/>
      <c r="F11" s="4"/>
      <c r="G11" s="177"/>
      <c r="H11" s="4"/>
      <c r="I11" s="4"/>
      <c r="J11" s="4"/>
      <c r="N11" s="4"/>
      <c r="O11" s="221"/>
      <c r="P11" s="184"/>
      <c r="Q11" s="355"/>
      <c r="R11" s="168"/>
    </row>
    <row r="12" spans="1:19" ht="14.1" customHeight="1">
      <c r="A12" s="283">
        <v>42</v>
      </c>
      <c r="B12" s="327">
        <f>IF(ISNA(VLOOKUP($C$3,'Val-Départ'!G42:AA42,11,FALSE)),,VLOOKUP($C$3,'Val-Départ'!G42:AA42,11,FALSE))</f>
        <v>0</v>
      </c>
      <c r="C12" s="331"/>
      <c r="D12" s="177"/>
      <c r="E12" s="177"/>
      <c r="F12" s="4"/>
      <c r="G12" s="4"/>
      <c r="H12" s="4"/>
      <c r="I12" s="4"/>
      <c r="J12" s="4"/>
      <c r="N12" s="4"/>
      <c r="O12" s="221"/>
      <c r="P12" s="184">
        <v>0</v>
      </c>
      <c r="Q12" s="355"/>
      <c r="R12" s="168"/>
    </row>
    <row r="13" spans="1:19" ht="14.1" customHeight="1" thickBot="1">
      <c r="A13" s="169" t="s">
        <v>480</v>
      </c>
      <c r="B13" s="327">
        <f>IF(ISNA(VLOOKUP($C$3,'Val-Départ'!G43:AA43,11,FALSE)),,VLOOKUP($C$3,'Val-Départ'!G43:AA43,11,FALSE))</f>
        <v>0</v>
      </c>
      <c r="C13" s="223">
        <v>0</v>
      </c>
      <c r="D13" s="182"/>
      <c r="E13" s="177"/>
      <c r="F13" s="4"/>
      <c r="G13" s="181"/>
      <c r="H13" s="4"/>
      <c r="I13" s="4"/>
      <c r="J13" s="4"/>
      <c r="N13" s="249"/>
      <c r="O13" s="293"/>
      <c r="P13" s="250">
        <v>0</v>
      </c>
      <c r="Q13" s="356"/>
      <c r="R13" s="168"/>
    </row>
    <row r="14" spans="1:19" ht="14.1" customHeight="1" thickBot="1">
      <c r="A14" s="169" t="s">
        <v>228</v>
      </c>
      <c r="B14" s="327">
        <f>IF(ISNA(VLOOKUP($C$3,'Val-Départ'!G44:AA44,11,FALSE)),,VLOOKUP($C$3,'Val-Départ'!G44:AA44,11,FALSE))</f>
        <v>0</v>
      </c>
      <c r="C14" s="226">
        <v>0</v>
      </c>
      <c r="D14" s="259"/>
      <c r="E14" s="177"/>
      <c r="F14" s="4"/>
      <c r="G14" s="181"/>
      <c r="H14" s="4"/>
      <c r="I14" s="4"/>
      <c r="J14" s="4"/>
      <c r="N14" s="4"/>
      <c r="O14" s="333">
        <f>SUM(O11:O13)</f>
        <v>0</v>
      </c>
      <c r="P14" s="332">
        <f>SUM(P5:P13)</f>
        <v>12394.69</v>
      </c>
      <c r="Q14" s="314"/>
      <c r="R14" s="168"/>
    </row>
    <row r="15" spans="1:19" ht="14.1" customHeight="1" thickBot="1">
      <c r="A15" s="216"/>
      <c r="B15" s="217">
        <f>SUM(B4:B14)</f>
        <v>743.68</v>
      </c>
      <c r="C15" s="318">
        <f>SUM(C5:C14)</f>
        <v>0</v>
      </c>
      <c r="D15" s="177"/>
      <c r="E15" s="177"/>
      <c r="F15" s="324" t="s">
        <v>261</v>
      </c>
      <c r="G15" s="267">
        <f>B15-C15</f>
        <v>743.68</v>
      </c>
      <c r="H15" s="4"/>
      <c r="I15" s="4"/>
      <c r="J15" s="4"/>
      <c r="N15" s="4"/>
      <c r="O15" s="177"/>
      <c r="P15" s="267">
        <f>$P$14</f>
        <v>12394.69</v>
      </c>
      <c r="Q15" s="357" t="s">
        <v>260</v>
      </c>
      <c r="R15" s="168"/>
      <c r="S15" s="181"/>
    </row>
    <row r="16" spans="1:19" ht="14.1" customHeight="1" thickBot="1">
      <c r="A16" s="706"/>
      <c r="B16" s="1277"/>
      <c r="C16" s="4"/>
      <c r="D16" s="177"/>
      <c r="E16" s="177"/>
      <c r="F16" s="4"/>
      <c r="G16" s="1277"/>
      <c r="H16" s="4"/>
      <c r="I16" s="4"/>
      <c r="J16" s="4"/>
      <c r="N16" s="4"/>
      <c r="R16" s="330"/>
      <c r="S16" s="4"/>
    </row>
    <row r="17" spans="1:31" ht="14.1" customHeight="1" thickBot="1">
      <c r="A17" s="4"/>
      <c r="B17" s="336" t="s">
        <v>1870</v>
      </c>
      <c r="C17" s="177"/>
      <c r="D17" s="177"/>
      <c r="E17" s="177"/>
      <c r="H17" s="4"/>
      <c r="I17" s="4"/>
      <c r="J17" s="177"/>
      <c r="N17" s="77" t="s">
        <v>266</v>
      </c>
      <c r="O17" s="329">
        <v>170</v>
      </c>
      <c r="P17" s="328" t="s">
        <v>211</v>
      </c>
      <c r="Q17" s="358" t="s">
        <v>256</v>
      </c>
      <c r="R17" s="168"/>
      <c r="S17" s="4"/>
    </row>
    <row r="18" spans="1:31" ht="14.1" customHeight="1" thickBot="1">
      <c r="A18" s="189" t="s">
        <v>257</v>
      </c>
      <c r="B18" s="316">
        <v>231</v>
      </c>
      <c r="C18" s="265" t="s">
        <v>29</v>
      </c>
      <c r="D18" s="186" t="s">
        <v>256</v>
      </c>
      <c r="E18" s="4"/>
      <c r="F18" s="4"/>
      <c r="G18" s="181"/>
      <c r="H18" s="4"/>
      <c r="I18" s="4"/>
      <c r="J18" s="177"/>
      <c r="N18" s="326"/>
      <c r="O18" s="325" t="s">
        <v>297</v>
      </c>
      <c r="P18" s="263">
        <f>IF(ISNA(VLOOKUP($P$17,'Val-Départ'!$T$3:$W$8,4,FALSE)),,VLOOKUP($P$17,'Val-Départ'!$T$3:$W$8,4,FALSE))</f>
        <v>7436.81</v>
      </c>
      <c r="Q18" s="359" t="s">
        <v>278</v>
      </c>
      <c r="R18" s="223"/>
      <c r="S18" s="177"/>
    </row>
    <row r="19" spans="1:31" ht="14.1" customHeight="1">
      <c r="A19" s="260" t="s">
        <v>278</v>
      </c>
      <c r="B19" s="263">
        <f>IF(ISNA(VLOOKUP($C$18,'Val-Départ'!$J$3:$O$8,6,FALSE)),,VLOOKUP($C$18,'Val-Départ'!$J$3:$O8,6,FALSE))</f>
        <v>3470.51</v>
      </c>
      <c r="C19" s="305" t="s">
        <v>277</v>
      </c>
      <c r="D19" s="182"/>
      <c r="E19" s="4"/>
      <c r="G19" s="166"/>
      <c r="H19" s="268"/>
      <c r="I19" s="268"/>
      <c r="J19" s="177"/>
      <c r="N19" s="4"/>
      <c r="O19" s="177"/>
      <c r="P19" s="323">
        <v>0</v>
      </c>
      <c r="Q19" s="355"/>
      <c r="R19" s="223"/>
      <c r="S19" s="4"/>
    </row>
    <row r="20" spans="1:31" s="737" customFormat="1" ht="14.1" customHeight="1">
      <c r="A20" s="1461">
        <v>35</v>
      </c>
      <c r="B20" s="185"/>
      <c r="C20" s="248"/>
      <c r="D20" s="182"/>
      <c r="E20" s="4"/>
      <c r="G20" s="166"/>
      <c r="H20" s="268"/>
      <c r="I20" s="268"/>
      <c r="J20" s="177"/>
      <c r="K20" s="4"/>
      <c r="N20" s="4"/>
      <c r="O20" s="177"/>
      <c r="P20" s="323"/>
      <c r="Q20" s="355"/>
      <c r="R20" s="223"/>
      <c r="S20" s="4"/>
    </row>
    <row r="21" spans="1:31" s="737" customFormat="1" ht="14.1" customHeight="1">
      <c r="A21" s="1461">
        <v>36</v>
      </c>
      <c r="B21" s="185"/>
      <c r="C21" s="248"/>
      <c r="D21" s="182"/>
      <c r="E21" s="4"/>
      <c r="G21" s="166"/>
      <c r="H21" s="268"/>
      <c r="I21" s="268"/>
      <c r="J21" s="177"/>
      <c r="K21" s="4"/>
      <c r="N21" s="4"/>
      <c r="O21" s="177"/>
      <c r="P21" s="323"/>
      <c r="Q21" s="355"/>
      <c r="R21" s="223"/>
      <c r="S21" s="4"/>
    </row>
    <row r="22" spans="1:31" s="737" customFormat="1" ht="14.1" customHeight="1">
      <c r="A22" s="1461">
        <v>37</v>
      </c>
      <c r="B22" s="185"/>
      <c r="C22" s="248"/>
      <c r="D22" s="182"/>
      <c r="E22" s="4"/>
      <c r="G22" s="166"/>
      <c r="H22" s="268"/>
      <c r="I22" s="268"/>
      <c r="J22" s="177"/>
      <c r="K22" s="4"/>
      <c r="N22" s="4"/>
      <c r="O22" s="177"/>
      <c r="P22" s="323"/>
      <c r="Q22" s="355"/>
      <c r="R22" s="223"/>
      <c r="S22" s="4"/>
    </row>
    <row r="23" spans="1:31" s="737" customFormat="1" ht="14.1" customHeight="1">
      <c r="A23" s="1461">
        <v>38</v>
      </c>
      <c r="B23" s="185"/>
      <c r="C23" s="248"/>
      <c r="D23" s="182"/>
      <c r="E23" s="4"/>
      <c r="G23" s="166"/>
      <c r="H23" s="268"/>
      <c r="I23" s="268"/>
      <c r="J23" s="177"/>
      <c r="K23" s="4"/>
      <c r="N23" s="4"/>
      <c r="O23" s="177"/>
      <c r="P23" s="323"/>
      <c r="Q23" s="355"/>
      <c r="R23" s="223"/>
      <c r="S23" s="4"/>
    </row>
    <row r="24" spans="1:31" ht="14.1" customHeight="1">
      <c r="A24" s="1461">
        <v>39</v>
      </c>
      <c r="B24" s="185">
        <f>IF(ISNA(VLOOKUP($C$18,'Val-Départ'!G35:AA35,11,FALSE)),,VLOOKUP($C$18,'Val-Départ'!G35:AA35,11,FALSE))</f>
        <v>0</v>
      </c>
      <c r="C24" s="248"/>
      <c r="D24" s="182"/>
      <c r="E24" s="4"/>
      <c r="F24" s="4"/>
      <c r="G24" s="168"/>
      <c r="H24" s="4"/>
      <c r="I24" s="4"/>
      <c r="J24" s="177"/>
      <c r="N24" s="4"/>
      <c r="O24" s="177"/>
      <c r="P24" s="323">
        <v>0</v>
      </c>
      <c r="Q24" s="355"/>
      <c r="R24" s="223"/>
      <c r="S24" s="4"/>
    </row>
    <row r="25" spans="1:31" ht="14.1" customHeight="1" thickBot="1">
      <c r="A25" s="1461">
        <v>40</v>
      </c>
      <c r="B25" s="185">
        <f>IF(ISNA(VLOOKUP($C$18,'Val-Départ'!G36:AA36,11,FALSE)),,VLOOKUP($C$18,'Val-Départ'!G36:AA36,11,FALSE))</f>
        <v>0</v>
      </c>
      <c r="C25" s="248"/>
      <c r="D25" s="182"/>
      <c r="G25" s="166"/>
      <c r="H25" s="4"/>
      <c r="I25" s="4"/>
      <c r="J25" s="177"/>
      <c r="N25" s="4"/>
      <c r="O25" s="322"/>
      <c r="P25" s="321">
        <v>0</v>
      </c>
      <c r="Q25" s="356"/>
      <c r="R25" s="168"/>
      <c r="S25" s="4"/>
    </row>
    <row r="26" spans="1:31" ht="14.1" customHeight="1">
      <c r="A26" s="1461">
        <v>41</v>
      </c>
      <c r="B26" s="185">
        <f>IF(ISNA(VLOOKUP($C$18,'Val-Départ'!G37:AA37,11,FALSE)),,VLOOKUP($C$18,'Val-Départ'!G37:AA37,11,FALSE))</f>
        <v>0</v>
      </c>
      <c r="C26" s="248"/>
      <c r="D26" s="182"/>
      <c r="G26" s="166"/>
      <c r="H26" s="4"/>
      <c r="I26" s="4"/>
      <c r="N26" s="4"/>
      <c r="O26" s="177">
        <f>SUM(O19:O25)</f>
        <v>0</v>
      </c>
      <c r="P26" s="320">
        <f>SUM(P18:P25)</f>
        <v>7436.81</v>
      </c>
      <c r="Q26" s="8"/>
      <c r="R26" s="168"/>
    </row>
    <row r="27" spans="1:31" ht="14.1" customHeight="1" thickBot="1">
      <c r="A27" s="1461">
        <v>42</v>
      </c>
      <c r="B27" s="185">
        <f>IF(ISNA(VLOOKUP($C$18,'Val-Départ'!G38:AA38,11,FALSE)),,VLOOKUP($C$18,'Val-Départ'!G38:AA38,11,FALSE))</f>
        <v>0</v>
      </c>
      <c r="C27" s="223">
        <v>0</v>
      </c>
      <c r="D27" s="182"/>
      <c r="E27" s="177"/>
      <c r="G27" s="166"/>
      <c r="H27" s="4"/>
      <c r="I27" s="4"/>
      <c r="J27" s="4"/>
      <c r="L27" s="177"/>
      <c r="M27" s="255"/>
      <c r="N27" s="4"/>
      <c r="O27" s="177"/>
      <c r="P27" s="267">
        <f>$P$26</f>
        <v>7436.81</v>
      </c>
      <c r="Q27" s="357" t="s">
        <v>260</v>
      </c>
      <c r="R27" s="168"/>
      <c r="S27" s="181"/>
      <c r="T27" s="4"/>
      <c r="U27" s="4"/>
      <c r="V27" s="4"/>
      <c r="W27" s="4"/>
      <c r="X27" s="4"/>
      <c r="Y27" s="4"/>
    </row>
    <row r="28" spans="1:31" ht="14.1" customHeight="1">
      <c r="A28" s="169" t="s">
        <v>480</v>
      </c>
      <c r="B28" s="185">
        <f>IF(ISNA(VLOOKUP($C$18,'Val-Départ'!G39:AA39,11,FALSE)),,VLOOKUP($C$18,'Val-Départ'!G39:AA39,11,FALSE))</f>
        <v>0</v>
      </c>
      <c r="C28" s="223">
        <v>0</v>
      </c>
      <c r="D28" s="182"/>
      <c r="E28" s="177"/>
      <c r="F28" s="4"/>
      <c r="G28" s="168"/>
      <c r="J28" s="4"/>
      <c r="O28" s="168"/>
      <c r="P28" s="4"/>
      <c r="Q28" s="360"/>
      <c r="R28" s="177"/>
      <c r="S28" s="4"/>
      <c r="T28" s="4"/>
      <c r="U28" s="4"/>
      <c r="V28" s="4"/>
      <c r="W28" s="4"/>
      <c r="X28" s="4"/>
      <c r="Y28" s="4"/>
    </row>
    <row r="29" spans="1:31" ht="14.1" customHeight="1" thickBot="1">
      <c r="A29" s="1468" t="s">
        <v>228</v>
      </c>
      <c r="B29" s="185">
        <f>IF(ISNA(VLOOKUP($C$18,'Val-Départ'!G40:AA40,11,FALSE)),,VLOOKUP($C$18,'Val-Départ'!G40:AA40,11,FALSE))</f>
        <v>0</v>
      </c>
      <c r="C29" s="250">
        <v>0</v>
      </c>
      <c r="D29" s="259"/>
      <c r="E29" s="177"/>
      <c r="G29" s="166"/>
      <c r="J29" s="4"/>
      <c r="K29" s="5"/>
      <c r="O29" s="166"/>
      <c r="S29" s="4"/>
      <c r="T29" s="274" t="s">
        <v>296</v>
      </c>
      <c r="U29" s="274"/>
      <c r="V29" s="274"/>
      <c r="W29" s="274"/>
      <c r="X29" s="274"/>
      <c r="Y29" s="274"/>
      <c r="Z29" s="274"/>
      <c r="AA29" s="274"/>
      <c r="AB29" s="274"/>
      <c r="AC29" s="274"/>
      <c r="AD29" s="274"/>
      <c r="AE29" s="177"/>
    </row>
    <row r="30" spans="1:31" ht="14.1" customHeight="1" thickBot="1">
      <c r="A30" s="216"/>
      <c r="B30" s="217">
        <f>SUM(B19:B29)</f>
        <v>3470.51</v>
      </c>
      <c r="C30" s="318">
        <f>SUM(C19:C29)</f>
        <v>0</v>
      </c>
      <c r="D30" s="177"/>
      <c r="E30" s="177"/>
      <c r="F30" s="207" t="s">
        <v>261</v>
      </c>
      <c r="G30" s="206">
        <f>B30-C30</f>
        <v>3470.51</v>
      </c>
      <c r="H30" s="4"/>
      <c r="I30" s="4"/>
      <c r="O30" s="166"/>
      <c r="S30" s="4"/>
      <c r="T30" s="139" t="s">
        <v>295</v>
      </c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77"/>
    </row>
    <row r="31" spans="1:31" ht="14.1" customHeight="1" thickBot="1">
      <c r="C31" s="4"/>
      <c r="D31" s="177"/>
      <c r="E31" s="177"/>
      <c r="F31" s="4"/>
      <c r="G31" s="663"/>
      <c r="H31" s="4"/>
      <c r="I31" s="4"/>
      <c r="O31" s="166"/>
      <c r="S31" s="4"/>
      <c r="T31" s="274" t="s">
        <v>294</v>
      </c>
      <c r="U31" s="274"/>
      <c r="V31" s="274"/>
      <c r="W31" s="274"/>
      <c r="X31" s="274"/>
      <c r="Y31" s="274"/>
      <c r="Z31" s="274"/>
      <c r="AA31" s="274"/>
      <c r="AB31" s="274"/>
      <c r="AC31" s="274"/>
      <c r="AD31" s="274"/>
      <c r="AE31" s="177"/>
    </row>
    <row r="32" spans="1:31" ht="14.1" customHeight="1">
      <c r="A32" s="4"/>
      <c r="B32" s="336" t="s">
        <v>1870</v>
      </c>
      <c r="C32" s="4"/>
      <c r="D32" s="177"/>
      <c r="E32" s="177"/>
      <c r="F32" s="4"/>
      <c r="G32" s="168"/>
      <c r="H32" s="4"/>
      <c r="I32" s="4"/>
      <c r="O32" s="166"/>
      <c r="S32" s="4"/>
      <c r="AB32" s="4"/>
      <c r="AC32" s="4"/>
      <c r="AD32" s="4"/>
      <c r="AE32" s="177"/>
    </row>
    <row r="33" spans="1:31" ht="14.1" customHeight="1" thickBot="1">
      <c r="A33" s="189" t="s">
        <v>257</v>
      </c>
      <c r="B33" s="316">
        <v>240</v>
      </c>
      <c r="C33" s="265" t="s">
        <v>292</v>
      </c>
      <c r="D33" s="186" t="s">
        <v>256</v>
      </c>
      <c r="E33" s="177"/>
      <c r="F33" s="4"/>
      <c r="G33" s="168"/>
      <c r="H33" s="4"/>
      <c r="I33" s="4"/>
      <c r="O33" s="166"/>
      <c r="S33" s="4"/>
      <c r="T33" s="1621" t="s">
        <v>293</v>
      </c>
      <c r="U33" s="1622"/>
      <c r="V33" s="1622"/>
      <c r="W33" s="1622"/>
      <c r="X33" s="1622"/>
      <c r="Y33" s="1622"/>
      <c r="Z33" s="1622"/>
      <c r="AA33" s="1622"/>
      <c r="AB33" s="1622"/>
      <c r="AC33" s="1622"/>
      <c r="AD33" s="1622"/>
      <c r="AE33" s="1723"/>
    </row>
    <row r="34" spans="1:31" ht="14.1" customHeight="1">
      <c r="A34" s="264" t="s">
        <v>278</v>
      </c>
      <c r="B34" s="263">
        <f>IF(ISNA(VLOOKUP($C$33,'Val-Départ'!$T$3:$W$8,4,FALSE)),,VLOOKUP($C$33,'Val-Départ'!$T$3:$W$8,4,FALSE))</f>
        <v>1983.15</v>
      </c>
      <c r="C34" s="305" t="s">
        <v>279</v>
      </c>
      <c r="D34" s="261"/>
      <c r="E34" s="177"/>
      <c r="G34" s="166"/>
      <c r="H34" s="4"/>
      <c r="I34" s="4"/>
      <c r="O34" s="166"/>
      <c r="S34" s="4"/>
      <c r="AB34" s="4"/>
      <c r="AC34" s="4"/>
      <c r="AD34" s="4"/>
      <c r="AE34" s="177"/>
    </row>
    <row r="35" spans="1:31" ht="14.1" customHeight="1">
      <c r="A35" s="1461">
        <v>35</v>
      </c>
      <c r="B35" s="315">
        <f>IF(ISNA(VLOOKUP(C$33,'Val-Départ'!G35:AA35,11,FALSE)),,VLOOKUP($C$33,'Val-Départ'!G35:AA35,11,FALSE))</f>
        <v>0</v>
      </c>
      <c r="C35" s="248"/>
      <c r="D35" s="182"/>
      <c r="E35" s="177"/>
      <c r="F35" s="4"/>
      <c r="G35" s="168"/>
      <c r="H35" s="4"/>
      <c r="I35" s="4"/>
      <c r="O35" s="168"/>
      <c r="P35" s="4"/>
      <c r="Q35" s="8"/>
      <c r="R35" s="177"/>
      <c r="S35" s="4"/>
      <c r="T35" s="4"/>
      <c r="U35" s="4"/>
      <c r="V35" s="4"/>
      <c r="W35" s="4"/>
      <c r="X35" s="4"/>
      <c r="Y35" s="4"/>
    </row>
    <row r="36" spans="1:31" ht="14.1" customHeight="1">
      <c r="A36" s="1461">
        <v>36</v>
      </c>
      <c r="B36" s="315">
        <f>IF(ISNA(VLOOKUP(C$33,'Val-Départ'!G36:AA36,11,FALSE)),,VLOOKUP($C$33,'Val-Départ'!G36:AA36,11,FALSE))</f>
        <v>0</v>
      </c>
      <c r="C36" s="248"/>
      <c r="D36" s="182"/>
      <c r="E36" s="177"/>
      <c r="F36" s="4"/>
      <c r="G36" s="168"/>
      <c r="H36" s="4"/>
      <c r="I36" s="4"/>
      <c r="O36" s="168"/>
      <c r="P36" s="4"/>
      <c r="Q36" s="8"/>
      <c r="R36" s="177"/>
      <c r="S36" s="4"/>
      <c r="T36" s="4"/>
      <c r="U36" s="4"/>
      <c r="V36" s="4"/>
      <c r="W36" s="4"/>
      <c r="X36" s="4"/>
      <c r="Y36" s="4"/>
    </row>
    <row r="37" spans="1:31" ht="14.1" customHeight="1">
      <c r="A37" s="1461">
        <v>37</v>
      </c>
      <c r="B37" s="315">
        <f>IF(ISNA(VLOOKUP(C$33,'Val-Départ'!G37:AA37,11,FALSE)),,VLOOKUP($C$33,'Val-Départ'!G37:AA37,11,FALSE))</f>
        <v>0</v>
      </c>
      <c r="C37" s="248"/>
      <c r="D37" s="182"/>
      <c r="E37" s="177"/>
      <c r="G37" s="166"/>
      <c r="H37" s="4"/>
      <c r="I37" s="4"/>
      <c r="O37" s="168"/>
      <c r="Q37" s="8"/>
      <c r="R37" s="177"/>
      <c r="S37" s="4"/>
      <c r="T37" s="4"/>
      <c r="U37" s="4"/>
      <c r="V37" s="4"/>
      <c r="W37" s="4"/>
      <c r="X37" s="4"/>
      <c r="Y37" s="4"/>
    </row>
    <row r="38" spans="1:31" ht="14.1" customHeight="1">
      <c r="A38" s="1461">
        <v>38</v>
      </c>
      <c r="B38" s="315">
        <f>IF(ISNA(VLOOKUP(C$33,'Val-Départ'!G38:AA38,11,FALSE)),,VLOOKUP($C$33,'Val-Départ'!G38:AA38,11,FALSE))</f>
        <v>0</v>
      </c>
      <c r="C38" s="248"/>
      <c r="D38" s="182"/>
      <c r="E38" s="177"/>
      <c r="F38" s="4"/>
      <c r="G38" s="168"/>
      <c r="H38" s="4"/>
      <c r="I38" s="4"/>
      <c r="O38" s="168"/>
      <c r="P38" s="4"/>
      <c r="Q38" s="8"/>
      <c r="R38" s="177"/>
      <c r="S38" s="4"/>
      <c r="T38" s="4"/>
      <c r="U38" s="4"/>
      <c r="V38" s="4"/>
      <c r="W38" s="4"/>
      <c r="X38" s="4"/>
      <c r="Y38" s="4"/>
    </row>
    <row r="39" spans="1:31" ht="14.1" customHeight="1">
      <c r="A39" s="1461">
        <v>39</v>
      </c>
      <c r="B39" s="315">
        <f>IF(ISNA(VLOOKUP(C$33,'Val-Départ'!G39:AA39,11,FALSE)),,VLOOKUP($C$33,'Val-Départ'!G39:AA39,11,FALSE))</f>
        <v>0</v>
      </c>
      <c r="C39" s="248"/>
      <c r="D39" s="182"/>
      <c r="E39" s="177"/>
      <c r="F39" s="4"/>
      <c r="G39" s="168"/>
      <c r="H39" s="4"/>
      <c r="I39" s="4"/>
      <c r="O39" s="166"/>
      <c r="Q39" s="314"/>
      <c r="R39" s="177"/>
      <c r="S39" s="4"/>
      <c r="T39" s="4"/>
      <c r="U39" s="4"/>
      <c r="V39" s="4"/>
      <c r="W39" s="4"/>
      <c r="X39" s="4"/>
      <c r="Y39" s="4"/>
    </row>
    <row r="40" spans="1:31" ht="14.1" customHeight="1">
      <c r="A40" s="1461">
        <v>40</v>
      </c>
      <c r="B40" s="315">
        <f>IF(ISNA(VLOOKUP(C$33,'Val-Départ'!G40:AA40,11,FALSE)),,VLOOKUP($C$33,'Val-Départ'!G40:AA40,11,FALSE))</f>
        <v>0</v>
      </c>
      <c r="C40" s="223"/>
      <c r="D40" s="182"/>
      <c r="E40" s="177"/>
      <c r="F40" s="4"/>
      <c r="G40" s="168"/>
      <c r="H40" s="4"/>
      <c r="I40" s="4"/>
      <c r="O40" s="168"/>
      <c r="P40" s="177"/>
      <c r="Q40" s="314"/>
      <c r="R40" s="177"/>
      <c r="S40" s="4"/>
      <c r="T40" s="4"/>
      <c r="U40" s="4"/>
      <c r="V40" s="4"/>
      <c r="W40" s="4"/>
      <c r="X40" s="4"/>
      <c r="Y40" s="4"/>
    </row>
    <row r="41" spans="1:31" ht="14.1" customHeight="1">
      <c r="A41" s="1461">
        <v>41</v>
      </c>
      <c r="B41" s="315">
        <f>IF(ISNA(VLOOKUP(C$33,'Val-Départ'!G41:AA41,11,FALSE)),,VLOOKUP($C$33,'Val-Départ'!G41:AA41,11,FALSE))</f>
        <v>0</v>
      </c>
      <c r="C41" s="223"/>
      <c r="E41" s="177"/>
      <c r="F41" s="4"/>
      <c r="G41" s="168"/>
      <c r="H41" s="4"/>
      <c r="I41" s="4"/>
      <c r="J41" s="177"/>
      <c r="K41" s="177"/>
      <c r="L41" s="177"/>
      <c r="M41" s="177"/>
      <c r="N41" s="177"/>
      <c r="O41" s="168"/>
      <c r="Q41" s="314"/>
      <c r="R41" s="177"/>
      <c r="S41" s="4"/>
      <c r="T41" s="4"/>
      <c r="U41" s="4"/>
      <c r="V41" s="4"/>
      <c r="W41" s="4"/>
      <c r="X41" s="4"/>
      <c r="Y41" s="4"/>
    </row>
    <row r="42" spans="1:31" s="737" customFormat="1" ht="14.1" customHeight="1">
      <c r="A42" s="1461">
        <v>42</v>
      </c>
      <c r="B42" s="315">
        <f>IF(ISNA(VLOOKUP(C$33,'Val-Départ'!G42:AA42,11,FALSE)),,VLOOKUP($C$33,'Val-Départ'!G42:AA42,11,FALSE))</f>
        <v>0</v>
      </c>
      <c r="C42" s="223"/>
      <c r="E42" s="177"/>
      <c r="F42" s="4"/>
      <c r="G42" s="168"/>
      <c r="H42" s="4"/>
      <c r="I42" s="4"/>
      <c r="J42" s="177"/>
      <c r="K42" s="177"/>
      <c r="L42" s="177"/>
      <c r="M42" s="177"/>
      <c r="N42" s="177"/>
      <c r="O42" s="168"/>
      <c r="Q42" s="314"/>
      <c r="R42" s="177"/>
      <c r="S42" s="4"/>
      <c r="T42" s="4"/>
      <c r="U42" s="4"/>
      <c r="V42" s="4"/>
      <c r="W42" s="4"/>
      <c r="X42" s="4"/>
      <c r="Y42" s="4"/>
    </row>
    <row r="43" spans="1:31" ht="14.1" customHeight="1" thickBot="1">
      <c r="A43" s="169" t="s">
        <v>480</v>
      </c>
      <c r="B43" s="315">
        <f>IF(ISNA(VLOOKUP(C$33,'Val-Départ'!G43:AA43,11,FALSE)),,VLOOKUP($C$33,'Val-Départ'!G43:AA43,11,FALSE))</f>
        <v>0</v>
      </c>
      <c r="C43" s="250"/>
      <c r="D43" s="259"/>
      <c r="E43" s="177"/>
      <c r="F43" s="4"/>
      <c r="G43" s="168"/>
      <c r="H43" s="4"/>
      <c r="I43" s="177"/>
      <c r="J43" s="178"/>
      <c r="Q43" s="8"/>
      <c r="R43" s="177"/>
      <c r="S43" s="4"/>
      <c r="T43" s="4"/>
      <c r="U43" s="4"/>
      <c r="V43" s="4"/>
      <c r="W43" s="4"/>
      <c r="X43" s="4"/>
      <c r="Y43" s="4"/>
    </row>
    <row r="44" spans="1:31" ht="14.1" customHeight="1" thickBot="1">
      <c r="A44" s="211"/>
      <c r="B44" s="217">
        <f>SUM(B34:B43)</f>
        <v>1983.15</v>
      </c>
      <c r="C44" s="312">
        <f>SUM(C34:C43)</f>
        <v>0</v>
      </c>
      <c r="D44" s="177"/>
      <c r="E44" s="298"/>
      <c r="F44" s="310" t="s">
        <v>261</v>
      </c>
      <c r="G44" s="206">
        <f>B44-C44</f>
        <v>1983.15</v>
      </c>
      <c r="H44" s="4"/>
      <c r="I44" s="231"/>
      <c r="J44" s="177"/>
      <c r="Q44" s="8"/>
      <c r="R44" s="177"/>
      <c r="S44" s="4"/>
      <c r="T44" s="4"/>
      <c r="U44" s="4"/>
      <c r="V44" s="4"/>
      <c r="W44" s="4"/>
      <c r="X44" s="4"/>
      <c r="Y44" s="4"/>
    </row>
    <row r="45" spans="1:31" ht="14.1" customHeight="1">
      <c r="C45" s="268"/>
      <c r="D45" s="177"/>
      <c r="E45" s="298"/>
      <c r="F45" s="4"/>
      <c r="G45" s="168"/>
      <c r="H45" s="4"/>
      <c r="I45" s="317"/>
      <c r="J45" s="177"/>
      <c r="Q45" s="8"/>
      <c r="R45" s="177"/>
      <c r="S45" s="4"/>
      <c r="T45" s="4"/>
      <c r="U45" s="4"/>
      <c r="V45" s="4"/>
      <c r="W45" s="4"/>
      <c r="X45" s="4"/>
      <c r="Y45" s="4"/>
      <c r="Z45" s="4"/>
    </row>
    <row r="46" spans="1:31" ht="14.1" customHeight="1" thickBot="1">
      <c r="A46" s="177"/>
      <c r="B46" s="268"/>
      <c r="C46" s="268"/>
      <c r="D46" s="177"/>
      <c r="E46" s="314"/>
      <c r="F46" s="21"/>
      <c r="G46" s="313"/>
      <c r="H46" s="177"/>
      <c r="I46" s="4"/>
      <c r="J46" s="4"/>
      <c r="Q46" s="8"/>
      <c r="R46" s="177"/>
      <c r="S46" s="4"/>
      <c r="T46" s="4"/>
      <c r="U46" s="4"/>
      <c r="V46" s="4"/>
      <c r="W46" s="4"/>
      <c r="X46" s="4"/>
      <c r="Y46" s="4"/>
    </row>
    <row r="47" spans="1:31" ht="14.1" customHeight="1">
      <c r="A47" s="177"/>
      <c r="B47" s="336" t="s">
        <v>1870</v>
      </c>
      <c r="C47" s="268"/>
      <c r="D47" s="177"/>
      <c r="E47" s="314"/>
      <c r="F47" s="21"/>
      <c r="G47" s="313"/>
      <c r="H47" s="231"/>
      <c r="I47" s="4"/>
      <c r="J47" s="4"/>
      <c r="Q47" s="314"/>
      <c r="R47" s="177"/>
    </row>
    <row r="48" spans="1:31" ht="14.1" customHeight="1" thickBot="1">
      <c r="A48" s="189" t="s">
        <v>257</v>
      </c>
      <c r="B48" s="316">
        <v>24100</v>
      </c>
      <c r="C48" s="265" t="s">
        <v>464</v>
      </c>
      <c r="D48" s="186" t="s">
        <v>256</v>
      </c>
      <c r="E48" s="314"/>
      <c r="F48" s="21"/>
      <c r="G48" s="313"/>
      <c r="H48" s="309"/>
      <c r="I48" s="4"/>
      <c r="J48" s="177"/>
      <c r="Q48" s="314"/>
    </row>
    <row r="49" spans="1:17" ht="14.1" customHeight="1">
      <c r="A49" s="264" t="s">
        <v>278</v>
      </c>
      <c r="B49" s="263">
        <f>IF(ISNA(VLOOKUP($C$38,'Val-Départ'!$T$3:$W$8,4,FALSE)),,VLOOKUP($C$48,'Val-Départ'!$T$3:$W$8,4,FALSE))</f>
        <v>0</v>
      </c>
      <c r="C49" s="305" t="s">
        <v>279</v>
      </c>
      <c r="D49" s="261"/>
      <c r="E49" s="314"/>
      <c r="F49" s="21"/>
      <c r="G49" s="313"/>
      <c r="H49" s="4"/>
      <c r="I49" s="4"/>
      <c r="J49" s="248"/>
    </row>
    <row r="50" spans="1:17" ht="14.1" customHeight="1">
      <c r="A50" s="1461">
        <v>35</v>
      </c>
      <c r="B50" s="315">
        <f>IF(ISNA(VLOOKUP(C$48,'Val-Départ'!G35:AA35,11,FALSE)),,VLOOKUP($C$48,'Val-Départ'!G35:AA35,11,FALSE))</f>
        <v>0</v>
      </c>
      <c r="C50" s="248"/>
      <c r="D50" s="182"/>
      <c r="E50" s="314"/>
      <c r="F50" s="21"/>
      <c r="G50" s="313"/>
      <c r="H50" s="4"/>
      <c r="I50" s="4"/>
      <c r="J50" s="248"/>
    </row>
    <row r="51" spans="1:17" ht="14.1" customHeight="1">
      <c r="A51" s="1461">
        <v>36</v>
      </c>
      <c r="B51" s="315">
        <f>IF(ISNA(VLOOKUP(C$48,'Val-Départ'!G36:AA36,11,FALSE)),,VLOOKUP($C$48,'Val-Départ'!G36:AA36,11,FALSE))</f>
        <v>0</v>
      </c>
      <c r="C51" s="248"/>
      <c r="D51" s="182"/>
      <c r="E51" s="314"/>
      <c r="F51" s="21"/>
      <c r="G51" s="313"/>
      <c r="H51" s="4"/>
      <c r="I51" s="4"/>
      <c r="J51" s="248"/>
    </row>
    <row r="52" spans="1:17" ht="14.1" customHeight="1">
      <c r="A52" s="1461">
        <v>37</v>
      </c>
      <c r="B52" s="315">
        <f>IF(ISNA(VLOOKUP(C$48,'Val-Départ'!G37:AA37,11,FALSE)),,VLOOKUP($C$48,'Val-Départ'!G37:AA37,11,FALSE))</f>
        <v>0</v>
      </c>
      <c r="C52" s="248"/>
      <c r="D52" s="182"/>
      <c r="E52" s="314"/>
      <c r="F52" s="21"/>
      <c r="G52" s="313"/>
      <c r="H52" s="4"/>
      <c r="I52" s="4"/>
      <c r="J52" s="248"/>
    </row>
    <row r="53" spans="1:17" ht="14.1" customHeight="1">
      <c r="A53" s="1461">
        <v>38</v>
      </c>
      <c r="B53" s="315">
        <f>IF(ISNA(VLOOKUP(C$48,'Val-Départ'!G38:AA38,11,FALSE)),,VLOOKUP($C$48,'Val-Départ'!G38:AA38,11,FALSE))</f>
        <v>0</v>
      </c>
      <c r="C53" s="223"/>
      <c r="D53" s="182"/>
      <c r="E53" s="177"/>
      <c r="F53" s="4"/>
      <c r="G53" s="168"/>
      <c r="H53" s="4"/>
      <c r="I53" s="4"/>
      <c r="J53" s="248"/>
    </row>
    <row r="54" spans="1:17" ht="14.1" customHeight="1">
      <c r="A54" s="1461">
        <v>39</v>
      </c>
      <c r="B54" s="315">
        <f>IF(ISNA(VLOOKUP(C$48,'Val-Départ'!G39:AA39,11,FALSE)),,VLOOKUP($C$48,'Val-Départ'!G39:AA39,11,FALSE))</f>
        <v>0</v>
      </c>
      <c r="C54" s="223"/>
      <c r="D54" s="182"/>
      <c r="E54" s="177"/>
      <c r="F54" s="4"/>
      <c r="G54" s="168"/>
      <c r="H54" s="4"/>
      <c r="I54" s="4"/>
      <c r="J54" s="248"/>
    </row>
    <row r="55" spans="1:17" ht="14.1" customHeight="1">
      <c r="A55" s="1461">
        <v>40</v>
      </c>
      <c r="B55" s="315">
        <f>IF(ISNA(VLOOKUP(C$48,'Val-Départ'!G40:AA40,11,FALSE)),,VLOOKUP($C$48,'Val-Départ'!G40:AA40,11,FALSE))</f>
        <v>0</v>
      </c>
      <c r="C55" s="223"/>
      <c r="D55" s="182"/>
      <c r="E55" s="177"/>
      <c r="F55" s="4"/>
      <c r="G55" s="168"/>
      <c r="H55" s="1748" t="s">
        <v>490</v>
      </c>
      <c r="I55" s="1748"/>
      <c r="J55" s="1748"/>
      <c r="K55" s="1748"/>
      <c r="L55" s="1748"/>
      <c r="M55" s="1748"/>
      <c r="N55" s="1748"/>
    </row>
    <row r="56" spans="1:17" ht="14.1" customHeight="1">
      <c r="A56" s="1461">
        <v>41</v>
      </c>
      <c r="B56" s="315">
        <f>IF(ISNA(VLOOKUP(C$48,'Val-Départ'!G41:AA41,11,FALSE)),,VLOOKUP($C$48,'Val-Départ'!G41:AA41,11,FALSE))</f>
        <v>0</v>
      </c>
      <c r="C56" s="223"/>
      <c r="D56" s="182"/>
      <c r="E56" s="177"/>
      <c r="F56" s="4"/>
      <c r="G56" s="168"/>
      <c r="H56" s="4"/>
      <c r="I56" s="4"/>
      <c r="J56" s="4"/>
    </row>
    <row r="57" spans="1:17" s="737" customFormat="1" ht="14.1" customHeight="1">
      <c r="A57" s="1461">
        <v>42</v>
      </c>
      <c r="B57" s="315">
        <f>IF(ISNA(VLOOKUP(C$48,'Val-Départ'!G42:AA42,11,FALSE)),,VLOOKUP($C$48,'Val-Départ'!G42:AA42,11,FALSE))</f>
        <v>0</v>
      </c>
      <c r="C57" s="223"/>
      <c r="D57" s="182"/>
      <c r="E57" s="177"/>
      <c r="F57" s="4"/>
      <c r="G57" s="168"/>
      <c r="H57" s="4"/>
      <c r="I57" s="4"/>
      <c r="J57" s="4"/>
      <c r="K57" s="4"/>
      <c r="Q57" s="6"/>
    </row>
    <row r="58" spans="1:17" s="737" customFormat="1" ht="14.1" customHeight="1">
      <c r="A58" s="169" t="s">
        <v>480</v>
      </c>
      <c r="B58" s="315">
        <f>IF(ISNA(VLOOKUP(C$48,'Val-Départ'!G43:AA43,11,FALSE)),,VLOOKUP($C$48,'Val-Départ'!G43:AA43,11,FALSE))</f>
        <v>0</v>
      </c>
      <c r="C58" s="223"/>
      <c r="D58" s="182"/>
      <c r="E58" s="177"/>
      <c r="F58" s="4"/>
      <c r="G58" s="168"/>
      <c r="H58" s="4"/>
      <c r="I58" s="4"/>
      <c r="J58" s="4"/>
      <c r="K58" s="4"/>
      <c r="Q58" s="6"/>
    </row>
    <row r="59" spans="1:17" s="737" customFormat="1" ht="14.1" customHeight="1" thickBot="1">
      <c r="A59" s="169"/>
      <c r="B59" s="315">
        <f>IF(ISNA(VLOOKUP(C$48,'Val-Départ'!G44:AA44,11,FALSE)),,VLOOKUP($C$48,'Val-Départ'!G44:AA44,11,FALSE))</f>
        <v>0</v>
      </c>
      <c r="C59" s="223"/>
      <c r="D59" s="182"/>
      <c r="E59" s="177"/>
      <c r="F59" s="4"/>
      <c r="G59" s="168"/>
      <c r="H59" s="4"/>
      <c r="I59" s="4"/>
      <c r="J59" s="4"/>
      <c r="K59" s="4"/>
      <c r="Q59" s="6"/>
    </row>
    <row r="60" spans="1:17" ht="14.1" customHeight="1" thickBot="1">
      <c r="A60" s="211"/>
      <c r="B60" s="348">
        <f>SUM(B49:B59)</f>
        <v>0</v>
      </c>
      <c r="C60" s="312">
        <f>SUM(C50:C59)</f>
        <v>0</v>
      </c>
      <c r="D60" s="177"/>
      <c r="E60" s="177"/>
      <c r="F60" s="310" t="s">
        <v>261</v>
      </c>
      <c r="G60" s="206">
        <f>$B$60-$C$60</f>
        <v>0</v>
      </c>
      <c r="H60" s="4"/>
      <c r="I60" s="4"/>
      <c r="J60" s="4"/>
    </row>
    <row r="61" spans="1:17" ht="14.1" customHeight="1">
      <c r="A61" s="177"/>
      <c r="B61" s="269"/>
      <c r="C61" s="268"/>
      <c r="D61" s="177"/>
      <c r="E61" s="4"/>
      <c r="F61" s="4"/>
      <c r="G61" s="168"/>
      <c r="H61" s="4"/>
      <c r="I61" s="4"/>
      <c r="J61" s="4"/>
    </row>
    <row r="62" spans="1:17" s="737" customFormat="1" ht="14.1" customHeight="1">
      <c r="A62" s="177"/>
      <c r="B62" s="269"/>
      <c r="C62" s="268"/>
      <c r="D62" s="177"/>
      <c r="E62" s="4"/>
      <c r="F62" s="4"/>
      <c r="G62" s="168"/>
      <c r="H62" s="4"/>
      <c r="I62" s="4"/>
      <c r="J62" s="4"/>
      <c r="K62" s="4"/>
      <c r="Q62" s="6"/>
    </row>
    <row r="63" spans="1:17" s="737" customFormat="1" ht="14.1" customHeight="1" thickBot="1">
      <c r="A63" s="189" t="s">
        <v>257</v>
      </c>
      <c r="B63" s="316">
        <v>24100</v>
      </c>
      <c r="C63" s="265" t="s">
        <v>218</v>
      </c>
      <c r="D63" s="186" t="s">
        <v>256</v>
      </c>
      <c r="E63" s="4"/>
      <c r="F63" s="4"/>
      <c r="G63" s="168"/>
      <c r="H63" s="4"/>
      <c r="I63" s="4"/>
      <c r="J63" s="4"/>
      <c r="K63" s="4"/>
      <c r="Q63" s="6"/>
    </row>
    <row r="64" spans="1:17" s="737" customFormat="1" ht="14.1" customHeight="1">
      <c r="A64" s="264" t="s">
        <v>278</v>
      </c>
      <c r="B64" s="263">
        <f>IF(ISNA(VLOOKUP($C$63,'Val-Départ'!$J$3:$O$8,6,FALSE)),,VLOOKUP($C$63,'Val-Départ'!$J$3:$O$8,6,FALSE))</f>
        <v>6197.34</v>
      </c>
      <c r="C64" s="305" t="s">
        <v>279</v>
      </c>
      <c r="D64" s="261"/>
      <c r="E64" s="4"/>
      <c r="F64" s="4"/>
      <c r="G64" s="168"/>
      <c r="H64" s="4"/>
      <c r="I64" s="4"/>
      <c r="J64" s="4"/>
      <c r="K64" s="4"/>
      <c r="Q64" s="6"/>
    </row>
    <row r="65" spans="1:34" s="737" customFormat="1" ht="14.1" customHeight="1">
      <c r="A65" s="1462">
        <v>35</v>
      </c>
      <c r="B65" s="315">
        <f>IF(ISNA(VLOOKUP(C$48,'Val-Départ'!G50:AA50,11,FALSE)),,VLOOKUP($C$48,'Val-Départ'!G50:AA50,11,FALSE))</f>
        <v>0</v>
      </c>
      <c r="C65" s="248"/>
      <c r="D65" s="182"/>
      <c r="E65" s="4"/>
      <c r="F65" s="4"/>
      <c r="G65" s="168"/>
      <c r="H65" s="4"/>
      <c r="I65" s="4"/>
      <c r="J65" s="4"/>
      <c r="K65" s="4"/>
      <c r="Q65" s="6"/>
    </row>
    <row r="66" spans="1:34" s="737" customFormat="1" ht="14.1" customHeight="1">
      <c r="A66" s="1462">
        <v>36</v>
      </c>
      <c r="B66" s="315">
        <f>IF(ISNA(VLOOKUP(C$48,'Val-Départ'!G51:AA51,11,FALSE)),,VLOOKUP($C$48,'Val-Départ'!G51:AA51,11,FALSE))</f>
        <v>0</v>
      </c>
      <c r="C66" s="248"/>
      <c r="D66" s="182"/>
      <c r="E66" s="4"/>
      <c r="F66" s="4"/>
      <c r="G66" s="168"/>
      <c r="H66" s="4"/>
      <c r="I66" s="4"/>
      <c r="J66" s="4"/>
      <c r="K66" s="4"/>
      <c r="Q66" s="6"/>
    </row>
    <row r="67" spans="1:34" s="737" customFormat="1" ht="14.1" customHeight="1">
      <c r="A67" s="1462">
        <v>37</v>
      </c>
      <c r="B67" s="315">
        <f>IF(ISNA(VLOOKUP(C$48,'Val-Départ'!G52:AA52,11,FALSE)),,VLOOKUP($C$48,'Val-Départ'!G52:AA52,11,FALSE))</f>
        <v>0</v>
      </c>
      <c r="C67" s="248"/>
      <c r="D67" s="182"/>
      <c r="E67" s="4"/>
      <c r="F67" s="4"/>
      <c r="G67" s="168"/>
      <c r="H67" s="4"/>
      <c r="I67" s="4"/>
      <c r="J67" s="4"/>
      <c r="K67" s="4"/>
      <c r="Q67" s="6"/>
    </row>
    <row r="68" spans="1:34" s="737" customFormat="1" ht="14.1" customHeight="1">
      <c r="A68" s="1462">
        <v>38</v>
      </c>
      <c r="B68" s="315">
        <f>IF(ISNA(VLOOKUP(C$48,'Val-Départ'!G53:AA53,11,FALSE)),,VLOOKUP($C$48,'Val-Départ'!G53:AA53,11,FALSE))</f>
        <v>0</v>
      </c>
      <c r="C68" s="223"/>
      <c r="D68" s="182"/>
      <c r="E68" s="4"/>
      <c r="F68" s="4"/>
      <c r="G68" s="168"/>
      <c r="H68" s="4"/>
      <c r="I68" s="4"/>
      <c r="J68" s="4"/>
      <c r="K68" s="4"/>
      <c r="Q68" s="6"/>
    </row>
    <row r="69" spans="1:34" s="737" customFormat="1" ht="14.1" customHeight="1">
      <c r="A69" s="1462">
        <v>39</v>
      </c>
      <c r="B69" s="315">
        <f>IF(ISNA(VLOOKUP(C$48,'Val-Départ'!G54:AA54,11,FALSE)),,VLOOKUP($C$48,'Val-Départ'!G54:AA54,11,FALSE))</f>
        <v>0</v>
      </c>
      <c r="C69" s="223"/>
      <c r="D69" s="182"/>
      <c r="E69" s="4"/>
      <c r="F69" s="4"/>
      <c r="G69" s="168"/>
      <c r="H69" s="4"/>
      <c r="I69" s="4"/>
      <c r="J69" s="4"/>
      <c r="K69" s="4"/>
      <c r="Q69" s="6"/>
    </row>
    <row r="70" spans="1:34" s="737" customFormat="1" ht="14.1" customHeight="1">
      <c r="A70" s="1462">
        <v>40</v>
      </c>
      <c r="B70" s="315">
        <f>IF(ISNA(VLOOKUP(C$48,'Val-Départ'!G55:AA55,11,FALSE)),,VLOOKUP($C$48,'Val-Départ'!G55:AA55,11,FALSE))</f>
        <v>0</v>
      </c>
      <c r="C70" s="223"/>
      <c r="D70" s="182"/>
      <c r="E70" s="4"/>
      <c r="F70" s="4"/>
      <c r="G70" s="168"/>
      <c r="H70" s="4"/>
      <c r="I70" s="4"/>
      <c r="J70" s="4"/>
      <c r="K70" s="4"/>
      <c r="Q70" s="6"/>
    </row>
    <row r="71" spans="1:34" s="737" customFormat="1" ht="14.1" customHeight="1">
      <c r="A71" s="1462">
        <v>41</v>
      </c>
      <c r="B71" s="315">
        <f>IF(ISNA(VLOOKUP(C$48,'Val-Départ'!G56:AA56,11,FALSE)),,VLOOKUP($C$48,'Val-Départ'!G56:AA56,11,FALSE))</f>
        <v>0</v>
      </c>
      <c r="C71" s="223"/>
      <c r="D71" s="182"/>
      <c r="E71" s="4"/>
      <c r="F71" s="4"/>
      <c r="G71" s="168"/>
      <c r="H71" s="4"/>
      <c r="I71" s="4"/>
      <c r="J71" s="4"/>
      <c r="K71" s="4"/>
      <c r="Q71" s="6"/>
    </row>
    <row r="72" spans="1:34" ht="14.1" customHeight="1">
      <c r="A72" s="1462">
        <v>42</v>
      </c>
      <c r="B72" s="315">
        <f>IF(ISNA(VLOOKUP(C$48,'Val-Départ'!G57:AA57,11,FALSE)),,VLOOKUP($C$48,'Val-Départ'!G57:AA57,11,FALSE))</f>
        <v>0</v>
      </c>
      <c r="C72" s="223"/>
      <c r="D72" s="182"/>
      <c r="E72" s="4"/>
      <c r="F72" s="4"/>
      <c r="G72" s="168"/>
      <c r="H72" s="4"/>
      <c r="I72" s="4"/>
      <c r="M72" s="4"/>
    </row>
    <row r="73" spans="1:34" ht="14.1" customHeight="1" thickBot="1">
      <c r="A73" s="278" t="s">
        <v>480</v>
      </c>
      <c r="B73" s="1480">
        <f>IF(ISNA(VLOOKUP(C$48,'Val-Départ'!G58:AA58,11,FALSE)),,VLOOKUP($C$48,'Val-Départ'!G58:AA58,11,FALSE))</f>
        <v>0</v>
      </c>
      <c r="C73" s="250"/>
      <c r="D73" s="259"/>
      <c r="E73" s="177"/>
      <c r="F73" s="4"/>
      <c r="G73" s="31"/>
      <c r="H73" s="4"/>
      <c r="I73" s="4"/>
      <c r="K73" s="177"/>
      <c r="L73" s="177"/>
      <c r="M73" s="177"/>
      <c r="N73" s="177"/>
      <c r="O73" s="166"/>
    </row>
    <row r="74" spans="1:34" ht="14.1" customHeight="1" thickBot="1">
      <c r="A74" s="169"/>
      <c r="B74" s="1482">
        <f>SUM(B64:B73)</f>
        <v>6197.34</v>
      </c>
      <c r="C74" s="318">
        <f>SUM(C65:C73)</f>
        <v>0</v>
      </c>
      <c r="D74" s="182"/>
      <c r="E74" s="177"/>
      <c r="F74" s="207"/>
      <c r="G74" s="251">
        <f>(B74-C74)</f>
        <v>6197.34</v>
      </c>
      <c r="H74" s="4"/>
      <c r="I74" s="4"/>
      <c r="K74" s="177"/>
      <c r="L74" s="4"/>
      <c r="M74" s="4"/>
      <c r="N74" s="4"/>
      <c r="O74" s="166"/>
    </row>
    <row r="75" spans="1:34" s="737" customFormat="1" ht="14.1" customHeight="1">
      <c r="A75" s="169"/>
      <c r="B75" s="1481"/>
      <c r="C75" s="223"/>
      <c r="D75" s="182"/>
      <c r="E75" s="177"/>
      <c r="F75" s="4"/>
      <c r="G75" s="168"/>
      <c r="H75" s="4"/>
      <c r="I75" s="4"/>
      <c r="K75" s="177"/>
      <c r="L75" s="4"/>
      <c r="M75" s="4"/>
      <c r="N75" s="4"/>
      <c r="O75" s="166"/>
      <c r="Q75" s="6"/>
    </row>
    <row r="76" spans="1:34" s="737" customFormat="1" ht="14.1" customHeight="1" thickBot="1">
      <c r="A76" s="169"/>
      <c r="B76" s="1481"/>
      <c r="C76" s="223"/>
      <c r="D76" s="182"/>
      <c r="E76" s="177"/>
      <c r="F76" s="4"/>
      <c r="G76" s="168"/>
      <c r="H76" s="4"/>
      <c r="I76" s="4"/>
      <c r="K76" s="177"/>
      <c r="L76" s="4"/>
      <c r="M76" s="4"/>
      <c r="N76" s="4"/>
      <c r="O76" s="166"/>
      <c r="Q76" s="6"/>
    </row>
    <row r="77" spans="1:34" ht="14.1" customHeight="1" thickTop="1" thickBot="1">
      <c r="A77" s="1742" t="s">
        <v>289</v>
      </c>
      <c r="B77" s="1743"/>
      <c r="C77" s="1740" t="s">
        <v>288</v>
      </c>
      <c r="D77" s="1741"/>
      <c r="E77" s="177"/>
      <c r="F77" s="4"/>
      <c r="G77" s="1747" t="s">
        <v>405</v>
      </c>
      <c r="H77" s="1747"/>
      <c r="I77" s="4"/>
      <c r="L77" s="177"/>
      <c r="M77" s="177"/>
      <c r="O77" s="735" t="s">
        <v>291</v>
      </c>
      <c r="P77" s="733" t="s">
        <v>290</v>
      </c>
      <c r="Q77" s="734"/>
      <c r="R77" s="737"/>
      <c r="S77" s="223"/>
      <c r="T77" s="737"/>
      <c r="U77" s="737"/>
      <c r="V77" s="736" t="s">
        <v>404</v>
      </c>
      <c r="W77" s="736"/>
      <c r="X77" s="737"/>
      <c r="Y77" s="737"/>
      <c r="Z77" s="737"/>
    </row>
    <row r="78" spans="1:34" ht="14.1" customHeight="1" thickTop="1">
      <c r="B78" s="1563" t="s">
        <v>1867</v>
      </c>
      <c r="C78" s="1751" t="s">
        <v>1867</v>
      </c>
      <c r="D78" s="1751"/>
      <c r="E78" s="309"/>
      <c r="F78" s="4"/>
      <c r="G78" s="168"/>
      <c r="H78" s="4"/>
      <c r="I78" s="4"/>
      <c r="O78" s="730" t="s">
        <v>287</v>
      </c>
      <c r="P78" s="731" t="s">
        <v>286</v>
      </c>
      <c r="Q78" s="732"/>
      <c r="R78" s="737"/>
      <c r="S78" s="166"/>
      <c r="T78" s="737"/>
      <c r="U78" s="737"/>
      <c r="V78" s="737"/>
      <c r="W78" s="737"/>
      <c r="X78" s="737"/>
      <c r="Y78" s="737"/>
      <c r="Z78" s="4"/>
    </row>
    <row r="79" spans="1:34" ht="14.1" customHeight="1">
      <c r="A79" s="1744" t="s">
        <v>285</v>
      </c>
      <c r="B79" s="1744"/>
      <c r="C79" s="222"/>
      <c r="E79" s="272"/>
      <c r="F79" s="168"/>
      <c r="G79" s="168"/>
      <c r="H79" s="1745" t="s">
        <v>484</v>
      </c>
      <c r="I79" s="1746"/>
      <c r="N79" s="4"/>
      <c r="O79" s="728" t="s">
        <v>12</v>
      </c>
      <c r="P79" s="728" t="s">
        <v>12</v>
      </c>
      <c r="Q79" s="729"/>
      <c r="R79" s="737"/>
      <c r="S79" s="166"/>
      <c r="T79" s="737"/>
      <c r="U79" s="737"/>
      <c r="V79" s="737"/>
      <c r="W79" s="737" t="s">
        <v>487</v>
      </c>
      <c r="X79" s="737"/>
      <c r="Y79" s="737"/>
      <c r="Z79" s="4"/>
    </row>
    <row r="80" spans="1:34" ht="14.1" customHeight="1" thickBot="1">
      <c r="A80" s="189" t="s">
        <v>257</v>
      </c>
      <c r="B80" s="32">
        <v>400</v>
      </c>
      <c r="C80" s="265" t="s">
        <v>216</v>
      </c>
      <c r="D80" s="186" t="s">
        <v>256</v>
      </c>
      <c r="E80" s="134"/>
      <c r="F80" s="251" t="s">
        <v>257</v>
      </c>
      <c r="G80" s="308">
        <v>4510</v>
      </c>
      <c r="H80" s="206" t="s">
        <v>30</v>
      </c>
      <c r="I80" s="168"/>
      <c r="L80" s="4"/>
      <c r="N80" s="186" t="s">
        <v>266</v>
      </c>
      <c r="O80" s="266">
        <v>440</v>
      </c>
      <c r="P80" s="361" t="s">
        <v>284</v>
      </c>
      <c r="Q80" s="307" t="s">
        <v>264</v>
      </c>
      <c r="R80" s="737"/>
      <c r="S80" s="168"/>
      <c r="T80" s="737"/>
      <c r="U80" s="249" t="s">
        <v>266</v>
      </c>
      <c r="V80" s="306">
        <v>4110</v>
      </c>
      <c r="W80" s="306" t="s">
        <v>25</v>
      </c>
      <c r="X80" s="249" t="s">
        <v>264</v>
      </c>
      <c r="Y80" s="737"/>
      <c r="Z80" s="737"/>
      <c r="AE80" s="249" t="s">
        <v>266</v>
      </c>
      <c r="AF80" s="306">
        <v>4110</v>
      </c>
      <c r="AG80" s="306" t="s">
        <v>283</v>
      </c>
      <c r="AH80" s="249" t="s">
        <v>264</v>
      </c>
    </row>
    <row r="81" spans="1:26" ht="14.1" customHeight="1">
      <c r="A81" s="264" t="s">
        <v>278</v>
      </c>
      <c r="B81" s="263">
        <f>IF(ISNA(VLOOKUP($C$80,'Val-Départ'!$J$6:$W$12,6,FALSE)),,VLOOKUP($C$80,'Val-Départ'!$J$6:$W$12,6,FALSE))</f>
        <v>3966.3</v>
      </c>
      <c r="C81" s="305" t="s">
        <v>277</v>
      </c>
      <c r="D81" s="261"/>
      <c r="E81" s="177"/>
      <c r="F81" s="302"/>
      <c r="G81" s="304"/>
      <c r="H81" s="303"/>
      <c r="I81" s="168"/>
      <c r="L81" s="4"/>
      <c r="N81" s="261"/>
      <c r="O81" s="301" t="s">
        <v>282</v>
      </c>
      <c r="P81" s="362">
        <f>IF(ISNA(VLOOKUP($P$80,'Val-Départ'!$T$3:$W$8,4,FALSE)),,VLOOKUP($P$80,'Val-Départ'!$T$3:$W$8,4,FALSE))</f>
        <v>2974.72</v>
      </c>
      <c r="Q81" s="300" t="s">
        <v>278</v>
      </c>
      <c r="R81" s="737"/>
      <c r="S81" s="168"/>
      <c r="T81" s="737"/>
      <c r="U81" s="335"/>
      <c r="V81" s="750"/>
      <c r="W81" s="751"/>
      <c r="X81" s="335"/>
      <c r="Y81" s="737"/>
      <c r="Z81" s="737"/>
    </row>
    <row r="82" spans="1:26" ht="14.1" customHeight="1">
      <c r="A82" s="387" t="s">
        <v>37</v>
      </c>
      <c r="B82" s="350">
        <f>IF(('Val-Départ'!G13&lt;&gt;"note de crédit"),VLOOKUP('Val-Départ'!G13,'Val-Départ'!G13:W13,14,FALSE ),VLOOKUP('Val-Départ'!G13,'Val-Départ'!G13:W13,14,FALSE))</f>
        <v>1499.7587000000001</v>
      </c>
      <c r="C82" s="292">
        <f>IF(ISNA(VLOOKUP('Val-Départ'!B13, 'Val-Départ'!B13:AD13, 28, FALSE)), , VLOOKUP( 'Val-Départ'!B13, 'Val-Départ'!B13:AD13, 28, FALSE))</f>
        <v>550</v>
      </c>
      <c r="D82" s="182"/>
      <c r="E82" s="177"/>
      <c r="F82" s="168"/>
      <c r="H82" s="292">
        <f>IF(ISNA(VLOOKUP('Val-Départ'!B13, 'Val-Départ'!B13:W25, 19, FALSE)), , VLOOKUP( 'Val-Départ'!B13, 'Val-Départ'!B13:W25, 19, FALSE))</f>
        <v>1499.7587000000001</v>
      </c>
      <c r="I82" s="387" t="s">
        <v>37</v>
      </c>
      <c r="L82" s="774"/>
      <c r="N82" s="379"/>
      <c r="O82" s="746">
        <f>IF(ISNA(VLOOKUP('Val-Départ'!B35, 'Val-Départ'!B35:AK35, 35, FALSE)), , VLOOKUP( 'Val-Départ'!B35, 'Val-Départ'!B35:AK35, 35, FALSE))</f>
        <v>550</v>
      </c>
      <c r="P82" s="344" t="str">
        <f>IF(ISNA(VLOOKUP('Val-Départ'!B35, 'Val-Départ'!B35:AA43, 24, FALSE)), , VLOOKUP( 'Val-Départ'!B35, 'Val-Départ'!B35:AA43, 24, FALSE))</f>
        <v>0</v>
      </c>
      <c r="Q82" s="473">
        <v>35</v>
      </c>
      <c r="R82" s="737"/>
      <c r="S82" s="168"/>
      <c r="T82" s="473">
        <v>35</v>
      </c>
      <c r="U82" s="177"/>
      <c r="V82" s="350">
        <f>IF(('Val-Départ'!G35="note de crédit"),VLOOKUP('Val-Départ'!G35,'Val-Départ'!G35:AA35,17,FALSE ),VLOOKUP('Val-Départ'!G35,'Val-Départ'!G35:AA35,17,FALSE))</f>
        <v>0</v>
      </c>
      <c r="W82" s="376" t="str">
        <f>IF(('Val-Départ'!G35="Marchandise"),VLOOKUP('Val-Départ'!G35,'Val-Départ'!G35:AA35,18,FALSE),"")</f>
        <v/>
      </c>
      <c r="X82" s="737"/>
      <c r="Y82" s="737"/>
      <c r="Z82" s="737"/>
    </row>
    <row r="83" spans="1:26" ht="14.1" customHeight="1">
      <c r="A83" s="387" t="s">
        <v>38</v>
      </c>
      <c r="B83" s="350">
        <f>IF(('Val-Départ'!G14&lt;&gt;"note de crédit"),VLOOKUP('Val-Départ'!G14,'Val-Départ'!G14:W14,14,FALSE ),VLOOKUP('Val-Départ'!G14,'Val-Départ'!G14:W14,14,FALSE))</f>
        <v>1115.5231999999999</v>
      </c>
      <c r="C83" s="292">
        <f>IF(ISNA(VLOOKUP('Val-Départ'!B14, 'Val-Départ'!B14:AD14, 28, FALSE)), , VLOOKUP( 'Val-Départ'!B14, 'Val-Départ'!B14:AD14, 28, FALSE))</f>
        <v>550</v>
      </c>
      <c r="D83" s="4"/>
      <c r="E83" s="177"/>
      <c r="F83" s="4"/>
      <c r="H83" s="292">
        <f>IF(ISNA(VLOOKUP('Val-Départ'!B14, 'Val-Départ'!B14:W26, 19, FALSE)), , VLOOKUP( 'Val-Départ'!B14, 'Val-Départ'!B14:W26, 19, FALSE))</f>
        <v>1115.5231999999999</v>
      </c>
      <c r="I83" s="387" t="s">
        <v>38</v>
      </c>
      <c r="J83" s="737" t="s">
        <v>481</v>
      </c>
      <c r="L83" s="774"/>
      <c r="N83" s="379"/>
      <c r="O83" s="746">
        <f>IF(ISNA(VLOOKUP('Val-Départ'!B36, 'Val-Départ'!B36:AK36, 35, FALSE)), , VLOOKUP( 'Val-Départ'!B36, 'Val-Départ'!B36:AK36, 35, FALSE))</f>
        <v>550</v>
      </c>
      <c r="P83" s="344" t="str">
        <f>IF(ISNA(VLOOKUP('Val-Départ'!B36, 'Val-Départ'!B36:AA44, 24, FALSE)), , VLOOKUP( 'Val-Départ'!B36, 'Val-Départ'!B36:AA44, 24, FALSE))</f>
        <v>0</v>
      </c>
      <c r="Q83" s="473">
        <v>36</v>
      </c>
      <c r="R83" s="737"/>
      <c r="S83" s="168"/>
      <c r="T83" s="473">
        <v>36</v>
      </c>
      <c r="U83" s="177"/>
      <c r="V83" s="350">
        <f>IF(('Val-Départ'!G36="note de crédit"),VLOOKUP('Val-Départ'!G36,'Val-Départ'!G36:AA36,17,FALSE ),VLOOKUP('Val-Départ'!G36,'Val-Départ'!G36:AA36,17,FALSE))</f>
        <v>0</v>
      </c>
      <c r="W83" s="376">
        <f>IF(('Val-Départ'!G36="Marchandise"),VLOOKUP('Val-Départ'!G36,'Val-Départ'!G36:AA36,18,FALSE),"")</f>
        <v>293.09070000000003</v>
      </c>
      <c r="X83" s="737"/>
      <c r="Y83" s="737"/>
      <c r="Z83" s="737"/>
    </row>
    <row r="84" spans="1:26" ht="14.1" customHeight="1">
      <c r="A84" s="387" t="s">
        <v>316</v>
      </c>
      <c r="B84" s="350">
        <f>IF(('Val-Départ'!G15&lt;&gt;"note de crédit"),VLOOKUP('Val-Départ'!G15,'Val-Départ'!G15:W15,14,FALSE ),VLOOKUP('Val-Départ'!G15,'Val-Départ'!G15:W15,14,FALSE))</f>
        <v>0</v>
      </c>
      <c r="C84" s="292">
        <f>IF(ISNA(VLOOKUP('Val-Départ'!B15, 'Val-Départ'!B15:AD15, 28, FALSE)), , VLOOKUP( 'Val-Départ'!B15, 'Val-Départ'!B15:AD15, 28, FALSE))</f>
        <v>550</v>
      </c>
      <c r="D84" s="182" t="s">
        <v>488</v>
      </c>
      <c r="E84" s="177"/>
      <c r="H84" s="292">
        <f>IF(ISNA(VLOOKUP('Val-Départ'!B15, 'Val-Départ'!B15:W27, 19, FALSE)), , VLOOKUP( 'Val-Départ'!B15, 'Val-Départ'!B15:W27, 19, FALSE))</f>
        <v>0</v>
      </c>
      <c r="I84" s="387" t="s">
        <v>316</v>
      </c>
      <c r="L84" s="774"/>
      <c r="N84" s="379"/>
      <c r="O84" s="746">
        <f>IF(ISNA(VLOOKUP('Val-Départ'!B37, 'Val-Départ'!B37:AK37, 35, FALSE)), , VLOOKUP( 'Val-Départ'!B37, 'Val-Départ'!B37:AK37, 35, FALSE))</f>
        <v>550</v>
      </c>
      <c r="P84" s="344" t="str">
        <f>IF(ISNA(VLOOKUP('Val-Départ'!B37, 'Val-Départ'!B37:AA45, 24, FALSE)), , VLOOKUP( 'Val-Départ'!B37, 'Val-Départ'!B37:AA45, 24, FALSE))</f>
        <v>0</v>
      </c>
      <c r="Q84" s="473">
        <v>37</v>
      </c>
      <c r="R84" s="737"/>
      <c r="S84" s="223"/>
      <c r="T84" s="473">
        <v>37</v>
      </c>
      <c r="U84" s="737"/>
      <c r="V84" s="350">
        <f>IF(('Val-Départ'!G37="note de crédit"),VLOOKUP('Val-Départ'!G37,'Val-Départ'!G37:AA37,17,FALSE ),VLOOKUP('Val-Départ'!G37,'Val-Départ'!G37:AA37,17,FALSE))</f>
        <v>0</v>
      </c>
      <c r="W84" s="376" t="str">
        <f>IF(('Val-Départ'!G37="Marchandise"),"",VLOOKUP('Val-Départ'!G37,'Val-Départ'!G37:AA37,18,FALSE))</f>
        <v/>
      </c>
      <c r="X84" s="737"/>
      <c r="Y84" s="737"/>
      <c r="Z84" s="737"/>
    </row>
    <row r="85" spans="1:26" ht="14.1" customHeight="1">
      <c r="A85" s="387" t="s">
        <v>317</v>
      </c>
      <c r="B85" s="350">
        <f>IF(('Val-Départ'!G16&lt;&gt;"note de crédit"),VLOOKUP('Val-Départ'!G16,'Val-Départ'!G16:W16,14,FALSE ),VLOOKUP('Val-Départ'!G16,'Val-Départ'!G16:W16,14,FALSE))</f>
        <v>0</v>
      </c>
      <c r="C85" s="292">
        <f>IF(ISNA(VLOOKUP('Val-Départ'!B16, 'Val-Départ'!B16:AD16, 28, FALSE)), , VLOOKUP( 'Val-Départ'!B16, 'Val-Départ'!B16:AD16, 28, FALSE))</f>
        <v>0</v>
      </c>
      <c r="D85" s="182"/>
      <c r="E85" s="177"/>
      <c r="F85" s="4"/>
      <c r="H85" s="292">
        <f>IF(ISNA(VLOOKUP('Val-Départ'!B16, 'Val-Départ'!B16:W28, 19, FALSE)), , VLOOKUP( 'Val-Départ'!B16, 'Val-Départ'!B16:W28, 19, FALSE))</f>
        <v>0</v>
      </c>
      <c r="I85" s="387" t="s">
        <v>317</v>
      </c>
      <c r="L85" s="774"/>
      <c r="N85" s="379"/>
      <c r="O85" s="746">
        <f>IF(ISNA(VLOOKUP('Val-Départ'!B38, 'Val-Départ'!B38:AK38, 35, FALSE)), , VLOOKUP( 'Val-Départ'!B38, 'Val-Départ'!B38:AK38, 35, FALSE))</f>
        <v>0</v>
      </c>
      <c r="P85" s="344">
        <f>IF(ISNA(VLOOKUP('Val-Départ'!B38, 'Val-Départ'!B38:AA46, 24, FALSE)), , VLOOKUP( 'Val-Départ'!B38, 'Val-Départ'!B38:AA46, 24, FALSE))</f>
        <v>0</v>
      </c>
      <c r="Q85" s="473">
        <v>38</v>
      </c>
      <c r="R85" s="737"/>
      <c r="S85" s="223"/>
      <c r="T85" s="473">
        <v>38</v>
      </c>
      <c r="U85" s="737"/>
      <c r="V85" s="350">
        <f>IF(('Val-Départ'!G38="note de crédit"),VLOOKUP('Val-Départ'!G38,'Val-Départ'!G38:AA38,17,FALSE ),VLOOKUP('Val-Départ'!G38,'Val-Départ'!G38:AA38,17,FALSE))</f>
        <v>0</v>
      </c>
      <c r="W85" s="376" t="str">
        <f>IF(('Val-Départ'!G38="Marchandise"),"",VLOOKUP('Val-Départ'!G38,'Val-Départ'!G38:AA38,18,FALSE))</f>
        <v/>
      </c>
      <c r="X85" s="737"/>
      <c r="Y85" s="737"/>
      <c r="Z85" s="737"/>
    </row>
    <row r="86" spans="1:26" ht="14.1" customHeight="1">
      <c r="A86" s="387" t="s">
        <v>318</v>
      </c>
      <c r="B86" s="350">
        <f>IF(('Val-Départ'!G17&lt;&gt;"note de crédit"),VLOOKUP('Val-Départ'!G17,'Val-Départ'!G17:W17,14,FALSE ),VLOOKUP('Val-Départ'!G17,'Val-Départ'!G17:W17,14,FALSE))</f>
        <v>0</v>
      </c>
      <c r="C86" s="292">
        <f>IF(ISNA(VLOOKUP('Val-Départ'!B17, 'Val-Départ'!B17:AD17, 28, FALSE)), , VLOOKUP( 'Val-Départ'!B17, 'Val-Départ'!B17:AD17, 28, FALSE))</f>
        <v>0</v>
      </c>
      <c r="D86" s="298"/>
      <c r="E86" s="177"/>
      <c r="F86" s="4"/>
      <c r="H86" s="292">
        <f>IF(ISNA(VLOOKUP('Val-Départ'!B17, 'Val-Départ'!B17:W29, 19, FALSE)), , VLOOKUP( 'Val-Départ'!B17, 'Val-Départ'!B17:W29, 19, FALSE))</f>
        <v>0</v>
      </c>
      <c r="I86" s="387" t="s">
        <v>318</v>
      </c>
      <c r="L86" s="774"/>
      <c r="N86" s="379"/>
      <c r="O86" s="746">
        <f>IF(ISNA(VLOOKUP('Val-Départ'!B39, 'Val-Départ'!B39:AK39, 35, FALSE)), , VLOOKUP( 'Val-Départ'!B39, 'Val-Départ'!B39:AK39, 35, FALSE))</f>
        <v>0</v>
      </c>
      <c r="P86" s="344">
        <f>IF(ISNA(VLOOKUP('Val-Départ'!B39, 'Val-Départ'!B39:AA47, 24, FALSE)), , VLOOKUP( 'Val-Départ'!B39, 'Val-Départ'!B39:AA47, 24, FALSE))</f>
        <v>0</v>
      </c>
      <c r="Q86" s="473">
        <v>39</v>
      </c>
      <c r="R86" s="737"/>
      <c r="S86" s="166"/>
      <c r="T86" s="473">
        <v>39</v>
      </c>
      <c r="U86" s="737"/>
      <c r="V86" s="350">
        <f>IF(('Val-Départ'!G39="note de crédit"),VLOOKUP('Val-Départ'!G39,'Val-Départ'!G39:AA39,17,FALSE ),VLOOKUP('Val-Départ'!G39,'Val-Départ'!G39:AA39,17,FALSE))</f>
        <v>0</v>
      </c>
      <c r="W86" s="376">
        <f>IF(('Val-Départ'!G39="Marchandise"),"",VLOOKUP('Val-Départ'!G39,'Val-Départ'!G39:AA39,18,FALSE))</f>
        <v>0</v>
      </c>
      <c r="X86" s="737"/>
      <c r="Y86" s="737"/>
      <c r="Z86" s="737"/>
    </row>
    <row r="87" spans="1:26" ht="14.1" customHeight="1">
      <c r="A87" s="169" t="s">
        <v>319</v>
      </c>
      <c r="B87" s="350">
        <f>IF(('Val-Départ'!G18&lt;&gt;"note de crédit"),VLOOKUP('Val-Départ'!G18,'Val-Départ'!G18:W18,14,FALSE ),VLOOKUP('Val-Départ'!G18,'Val-Départ'!G18:W18,14,FALSE))</f>
        <v>0</v>
      </c>
      <c r="C87" s="292">
        <f>IF(ISNA(VLOOKUP('Val-Départ'!B18, 'Val-Départ'!B18:AD18, 28, FALSE)), , VLOOKUP( 'Val-Départ'!B18, 'Val-Départ'!B18:AD18, 28, FALSE))</f>
        <v>0</v>
      </c>
      <c r="D87" s="295"/>
      <c r="E87" s="297"/>
      <c r="H87" s="292">
        <f>IF(ISNA(VLOOKUP('Val-Départ'!B18, 'Val-Départ'!B18:W30, 19, FALSE)), , VLOOKUP( 'Val-Départ'!B18, 'Val-Départ'!B18:W30, 19, FALSE))</f>
        <v>0</v>
      </c>
      <c r="I87" s="169" t="s">
        <v>319</v>
      </c>
      <c r="L87" s="774"/>
      <c r="N87" s="296"/>
      <c r="O87" s="746">
        <f>IF(ISNA(VLOOKUP('Val-Départ'!B40, 'Val-Départ'!B40:AK40, 35, FALSE)), , VLOOKUP( 'Val-Départ'!B40, 'Val-Départ'!B40:AK40, 35, FALSE))</f>
        <v>0</v>
      </c>
      <c r="P87" s="344">
        <f>IF(ISNA(VLOOKUP('Val-Départ'!B40, 'Val-Départ'!B40:AA48, 24, FALSE)), , VLOOKUP( 'Val-Départ'!B40, 'Val-Départ'!B40:AA48, 24, FALSE))</f>
        <v>0</v>
      </c>
      <c r="Q87" s="473">
        <v>40</v>
      </c>
      <c r="R87" s="737"/>
      <c r="S87" s="166"/>
      <c r="T87" s="473">
        <v>40</v>
      </c>
      <c r="U87" s="737"/>
      <c r="V87" s="350">
        <f>IF(('Val-Départ'!G40="note de crédit"),VLOOKUP('Val-Départ'!G40,'Val-Départ'!G40:AA40,16,FALSE ),VLOOKUP('Val-Départ'!G40,'Val-Départ'!G40:AA40,16,FALSE))</f>
        <v>0</v>
      </c>
      <c r="W87" s="376">
        <f>IF(('Val-Départ'!G40="Marchandise"),"",VLOOKUP('Val-Départ'!G40,'Val-Départ'!G40:AA40,18,FALSE))</f>
        <v>0</v>
      </c>
      <c r="X87" s="726" t="s">
        <v>400</v>
      </c>
      <c r="Y87" s="737"/>
      <c r="Z87" s="738"/>
    </row>
    <row r="88" spans="1:26" ht="14.1" customHeight="1">
      <c r="A88" s="169" t="s">
        <v>320</v>
      </c>
      <c r="B88" s="350">
        <f>IF(('Val-Départ'!G19&lt;&gt;"note de crédit"),VLOOKUP('Val-Départ'!G19,'Val-Départ'!G19:W19,14,FALSE ),VLOOKUP('Val-Départ'!G19,'Val-Départ'!G19:W19,14,FALSE))</f>
        <v>0</v>
      </c>
      <c r="C88" s="292">
        <f>IF(ISNA(VLOOKUP('Val-Départ'!B19, 'Val-Départ'!B19:AD19, 28, FALSE)), , VLOOKUP( 'Val-Départ'!B19, 'Val-Départ'!B19:AD19, 28, FALSE))</f>
        <v>0</v>
      </c>
      <c r="D88" s="182" t="s">
        <v>488</v>
      </c>
      <c r="E88" s="177"/>
      <c r="F88" s="4"/>
      <c r="H88" s="292">
        <f>IF(ISNA(VLOOKUP('Val-Départ'!B19, 'Val-Départ'!B19:W31, 19, FALSE)), , VLOOKUP( 'Val-Départ'!B19, 'Val-Départ'!B19:W31, 19, FALSE))</f>
        <v>0</v>
      </c>
      <c r="I88" s="169" t="s">
        <v>320</v>
      </c>
      <c r="L88" s="774"/>
      <c r="N88" s="380"/>
      <c r="O88" s="746">
        <f>IF(ISNA(VLOOKUP('Val-Départ'!B41, 'Val-Départ'!B41:AK41, 35, FALSE)), , VLOOKUP( 'Val-Départ'!B41, 'Val-Départ'!B41:AK41, 35, FALSE))</f>
        <v>0</v>
      </c>
      <c r="P88" s="344">
        <f>IF(ISNA(VLOOKUP('Val-Départ'!B41, 'Val-Départ'!B41:AA49, 24, FALSE)), , VLOOKUP( 'Val-Départ'!B41, 'Val-Départ'!B41:AA49, 24, FALSE))</f>
        <v>0</v>
      </c>
      <c r="Q88" s="473">
        <v>41</v>
      </c>
      <c r="R88" s="737"/>
      <c r="S88" s="166"/>
      <c r="T88" s="473">
        <v>41</v>
      </c>
      <c r="U88" s="737"/>
      <c r="V88" s="350">
        <f>IF(('Val-Départ'!G41="note de crédit"),VLOOKUP('Val-Départ'!G41,'Val-Départ'!G41:AA41,17,FALSE ),VLOOKUP('Val-Départ'!G41,'Val-Départ'!G41:AA41,17,FALSE))</f>
        <v>0</v>
      </c>
      <c r="W88" s="376">
        <f>IF(('Val-Départ'!G41="Marchandise"),"",VLOOKUP('Val-Départ'!G41,'Val-Départ'!G41:AA41,18,FALSE))</f>
        <v>0</v>
      </c>
      <c r="X88" s="737"/>
      <c r="Y88" s="737"/>
      <c r="Z88" s="737"/>
    </row>
    <row r="89" spans="1:26" ht="14.1" customHeight="1">
      <c r="A89" s="169" t="s">
        <v>321</v>
      </c>
      <c r="B89" s="350">
        <f>IF(('Val-Départ'!G20&lt;&gt;"note de crédit"),VLOOKUP('Val-Départ'!G20,'Val-Départ'!G20:W20,14,FALSE ),VLOOKUP('Val-Départ'!G20,'Val-Départ'!G20:W20,14,FALSE))</f>
        <v>0</v>
      </c>
      <c r="C89" s="292">
        <f>IF(ISNA(VLOOKUP('Val-Départ'!B20, 'Val-Départ'!B20:AD20, 28, FALSE)), , VLOOKUP( 'Val-Départ'!B20, 'Val-Départ'!B20:AD20, 28, FALSE))</f>
        <v>0</v>
      </c>
      <c r="D89" s="182" t="s">
        <v>488</v>
      </c>
      <c r="E89" s="177"/>
      <c r="F89" s="4"/>
      <c r="H89" s="292">
        <f>IF(ISNA(VLOOKUP('Val-Départ'!B20, 'Val-Départ'!B20:W32, 19, FALSE)), , VLOOKUP( 'Val-Départ'!B20, 'Val-Départ'!B20:W32, 19, FALSE))</f>
        <v>0</v>
      </c>
      <c r="I89" s="169" t="s">
        <v>321</v>
      </c>
      <c r="L89" s="774"/>
      <c r="N89" s="380"/>
      <c r="O89" s="746">
        <f>IF(ISNA(VLOOKUP('Val-Départ'!B42, 'Val-Départ'!B42:AK42, 35, FALSE)), , VLOOKUP( 'Val-Départ'!B42, 'Val-Départ'!B42:AK42, 35, FALSE))</f>
        <v>0</v>
      </c>
      <c r="P89" s="344">
        <f>IF(ISNA(VLOOKUP('Val-Départ'!B42, 'Val-Départ'!B42:AA50, 24, FALSE)), , VLOOKUP( 'Val-Départ'!B42, 'Val-Départ'!B42:AA50, 24, FALSE))</f>
        <v>0</v>
      </c>
      <c r="Q89" s="473">
        <v>42</v>
      </c>
      <c r="R89" s="737"/>
      <c r="S89" s="166"/>
      <c r="T89" s="473">
        <v>42</v>
      </c>
      <c r="U89" s="737"/>
      <c r="V89" s="350">
        <f>IF(('Val-Départ'!G42="note de crédit"),VLOOKUP('Val-Départ'!G42,'Val-Départ'!G42:AA42,17,FALSE ),VLOOKUP('Val-Départ'!G42,'Val-Départ'!G42:AA42,17,FALSE))</f>
        <v>0</v>
      </c>
      <c r="W89" s="376">
        <f>IF(('Val-Départ'!G42="Marchandise"),"",VLOOKUP('Val-Départ'!G42,'Val-Départ'!G42:AA42,18,FALSE))</f>
        <v>0</v>
      </c>
      <c r="X89" s="737"/>
      <c r="Y89" s="737"/>
      <c r="Z89" s="737"/>
    </row>
    <row r="90" spans="1:26" ht="14.1" customHeight="1">
      <c r="A90" s="220" t="s">
        <v>322</v>
      </c>
      <c r="B90" s="350">
        <f>IF(('Val-Départ'!G21&lt;&gt;"note de crédit"),VLOOKUP('Val-Départ'!G21,'Val-Départ'!G21:W21,14,FALSE ),VLOOKUP('Val-Départ'!G21,'Val-Départ'!G21:W21,14,FALSE))</f>
        <v>0</v>
      </c>
      <c r="C90" s="292">
        <f>IF(ISNA(VLOOKUP('Val-Départ'!B21, 'Val-Départ'!B21:AD21, 28, FALSE)), , VLOOKUP( 'Val-Départ'!B21, 'Val-Départ'!B21:AD21, 28, FALSE))</f>
        <v>0</v>
      </c>
      <c r="D90" s="177"/>
      <c r="E90" s="177"/>
      <c r="H90" s="292">
        <f>IF(ISNA(VLOOKUP('Val-Départ'!B21, 'Val-Départ'!B21:W33, 19, FALSE)), , VLOOKUP( 'Val-Départ'!B21, 'Val-Départ'!B21:W33, 19, FALSE))</f>
        <v>0</v>
      </c>
      <c r="I90" s="220" t="s">
        <v>322</v>
      </c>
      <c r="L90" s="774"/>
      <c r="N90" s="380"/>
      <c r="O90" s="746">
        <f>IF(ISNA(VLOOKUP('Val-Départ'!B43, 'Val-Départ'!B43:AK43, 35, FALSE)), , VLOOKUP( 'Val-Départ'!B43, 'Val-Départ'!B43:AK43, 35, FALSE))</f>
        <v>0</v>
      </c>
      <c r="P90" s="344">
        <f>IF(ISNA(VLOOKUP('Val-Départ'!B43, 'Val-Départ'!B43:AA51, 24, FALSE)), , VLOOKUP( 'Val-Départ'!B43, 'Val-Départ'!B43:AA51, 24, FALSE))</f>
        <v>0</v>
      </c>
      <c r="Q90" s="473">
        <v>43</v>
      </c>
      <c r="R90" s="737"/>
      <c r="S90" s="166"/>
      <c r="T90" s="473">
        <v>43</v>
      </c>
      <c r="U90" s="737"/>
      <c r="V90" s="350">
        <f>IF(('Val-Départ'!G43="note de crédit"),VLOOKUP('Val-Départ'!G43,'Val-Départ'!G43:AA43,17,FALSE ),VLOOKUP('Val-Départ'!G43,'Val-Départ'!G43:AA43,17,FALSE))</f>
        <v>0</v>
      </c>
      <c r="W90" s="376">
        <f>IF(('Val-Départ'!G43="Marchandise"),"",VLOOKUP('Val-Départ'!G43,'Val-Départ'!G43:AA43,18,FALSE))</f>
        <v>0</v>
      </c>
      <c r="X90" s="737"/>
      <c r="Y90" s="737"/>
      <c r="Z90" s="737"/>
    </row>
    <row r="91" spans="1:26" ht="14.1" customHeight="1" thickBot="1">
      <c r="A91" s="220" t="s">
        <v>366</v>
      </c>
      <c r="B91" s="350">
        <f>IF(('Val-Départ'!G22&lt;&gt;"note de crédit"),VLOOKUP('Val-Départ'!G22,'Val-Départ'!G22:W22,14,FALSE ),VLOOKUP('Val-Départ'!G22,'Val-Départ'!G22:W22,14,FALSE))</f>
        <v>0</v>
      </c>
      <c r="C91" s="292">
        <f>IF(ISNA(VLOOKUP('Val-Départ'!B22, 'Val-Départ'!B22:AD22, 28, FALSE)), , VLOOKUP( 'Val-Départ'!B22, 'Val-Départ'!B22:AD22, 28, FALSE))</f>
        <v>0</v>
      </c>
      <c r="D91" s="182" t="s">
        <v>488</v>
      </c>
      <c r="E91" s="177"/>
      <c r="F91" s="4"/>
      <c r="H91" s="292">
        <f>IF(ISNA(VLOOKUP('Val-Départ'!B22, 'Val-Départ'!B22:W34, 19, FALSE)), , VLOOKUP( 'Val-Départ'!B22, 'Val-Départ'!B22:W34, 19, FALSE))</f>
        <v>0</v>
      </c>
      <c r="I91" s="220" t="s">
        <v>366</v>
      </c>
      <c r="L91" s="774"/>
      <c r="N91" s="381"/>
      <c r="O91" s="746">
        <f>IF(ISNA(VLOOKUP('Val-Départ'!B44, 'Val-Départ'!B44:AK44, 35, FALSE)), , VLOOKUP( 'Val-Départ'!B44, 'Val-Départ'!B44:AK44, 35, FALSE))</f>
        <v>0</v>
      </c>
      <c r="P91" s="344">
        <f>IF(ISNA(VLOOKUP('Val-Départ'!B44, 'Val-Départ'!B44:AA52, 24, FALSE)), , VLOOKUP( 'Val-Départ'!B44, 'Val-Départ'!B44:AA52, 24, FALSE))</f>
        <v>0</v>
      </c>
      <c r="Q91" s="473">
        <v>44</v>
      </c>
      <c r="R91" s="737"/>
      <c r="S91" s="166"/>
      <c r="T91" s="473">
        <v>44</v>
      </c>
      <c r="U91" s="737"/>
      <c r="V91" s="350">
        <f>IF(('Val-Départ'!G44="note de crédit"),VLOOKUP('Val-Départ'!G44,'Val-Départ'!G44:AA44,17,FALSE ),VLOOKUP('Val-Départ'!G44,'Val-Départ'!G44:AA44,17,FALSE))</f>
        <v>0</v>
      </c>
      <c r="W91" s="376">
        <f>IF(('Val-Départ'!G44="Marchandise"),"",VLOOKUP('Val-Départ'!G44,'Val-Départ'!G44:AA44,18,FALSE))</f>
        <v>0</v>
      </c>
      <c r="X91" s="737"/>
      <c r="Y91" s="737"/>
      <c r="Z91" s="737"/>
    </row>
    <row r="92" spans="1:26" ht="14.1" customHeight="1">
      <c r="A92" s="474" t="s">
        <v>323</v>
      </c>
      <c r="B92" s="350">
        <f>IF(('Val-Départ'!G23&lt;&gt;"note de crédit"),VLOOKUP('Val-Départ'!G23,'Val-Départ'!G23:W23,14,FALSE ),VLOOKUP('Val-Départ'!G23,'Val-Départ'!G23:W23,14,FALSE))</f>
        <v>0</v>
      </c>
      <c r="C92" s="292">
        <f>IF(ISNA(VLOOKUP('Val-Départ'!B23, 'Val-Départ'!B23:AD23, 28, FALSE)), , VLOOKUP( 'Val-Départ'!B23, 'Val-Départ'!B23:AD23, 28, FALSE))</f>
        <v>0</v>
      </c>
      <c r="D92" s="182" t="s">
        <v>488</v>
      </c>
      <c r="E92" s="177"/>
      <c r="H92" s="292">
        <f>IF(ISNA(VLOOKUP('Val-Départ'!B23, 'Val-Départ'!B23:W35, 19, FALSE)), , VLOOKUP( 'Val-Départ'!B23, 'Val-Départ'!B23:W35, 19, FALSE))</f>
        <v>0</v>
      </c>
      <c r="I92" s="474" t="s">
        <v>323</v>
      </c>
      <c r="L92" s="774"/>
      <c r="N92" s="380"/>
      <c r="O92" s="746">
        <f>IF(ISNA(VLOOKUP('Val-Départ'!B45, 'Val-Départ'!B45:AK45, 35, FALSE)), , VLOOKUP( 'Val-Départ'!B45, 'Val-Départ'!B45:AK45, 35, FALSE))</f>
        <v>0</v>
      </c>
      <c r="P92" s="344">
        <f>IF(ISNA(VLOOKUP('Val-Départ'!B45, 'Val-Départ'!B45:AA53, 24, FALSE)), , VLOOKUP( 'Val-Départ'!B45, 'Val-Départ'!B45:AA53, 24, FALSE))</f>
        <v>0</v>
      </c>
      <c r="Q92" s="169"/>
      <c r="R92" s="737"/>
      <c r="S92" s="166"/>
      <c r="T92" s="473"/>
      <c r="U92" s="737"/>
      <c r="V92" s="749"/>
      <c r="W92" s="376"/>
      <c r="X92" s="737"/>
    </row>
    <row r="93" spans="1:26" ht="14.1" customHeight="1" thickBot="1">
      <c r="A93" s="103"/>
      <c r="B93" s="177"/>
      <c r="C93" s="292">
        <f>IF(ISNA(VLOOKUP('Val-Départ'!B24, 'Val-Départ'!B24:AD24, 28, FALSE)), , VLOOKUP( 'Val-Départ'!B24, 'Val-Départ'!B24:AD24, 28, FALSE))</f>
        <v>0</v>
      </c>
      <c r="E93" s="177">
        <v>16</v>
      </c>
      <c r="H93" s="292">
        <f>IF(ISNA(VLOOKUP('Val-Départ'!B24, 'Val-Départ'!B24:U32, 14, FALSE)), , VLOOKUP( 'Val-Départ'!B24, 'Val-Départ'!B24:U32, 14, FALSE))</f>
        <v>0</v>
      </c>
      <c r="L93" s="774"/>
      <c r="N93" s="380"/>
      <c r="O93" s="748"/>
      <c r="P93" s="344">
        <f>IF(ISNA(VLOOKUP('Val-Départ'!B46, 'Val-Départ'!B46:AA54, 24, FALSE)), , VLOOKUP( 'Val-Départ'!B46, 'Val-Départ'!B46:AA54, 24, FALSE))</f>
        <v>0</v>
      </c>
      <c r="Q93" s="169"/>
      <c r="R93" s="737"/>
      <c r="S93" s="166"/>
      <c r="T93" s="473"/>
      <c r="U93" s="737"/>
      <c r="V93" s="749"/>
      <c r="W93" s="377"/>
      <c r="X93" s="737"/>
    </row>
    <row r="94" spans="1:26" ht="14.1" customHeight="1" thickBot="1">
      <c r="A94" s="4"/>
      <c r="C94" s="280"/>
      <c r="D94" s="4"/>
      <c r="E94" s="177"/>
      <c r="G94" s="166"/>
      <c r="H94" s="457">
        <f>SUM(H82:H93)</f>
        <v>2615.2819</v>
      </c>
      <c r="L94" s="4"/>
      <c r="N94" s="21"/>
      <c r="O94" s="294">
        <f>SUM(O82:O93)</f>
        <v>1650</v>
      </c>
      <c r="P94" s="363">
        <f>SUM(P81:P93)</f>
        <v>2974.72</v>
      </c>
      <c r="Q94" s="182"/>
      <c r="S94" s="166"/>
      <c r="V94" s="291"/>
      <c r="W94" s="377" t="e">
        <f>IF(('Val-Départ'!G46=""),"",VLOOKUP('Val-Départ'!G46,'Val-Départ'!G45:AA45,7,FALSE))</f>
        <v>#N/A</v>
      </c>
    </row>
    <row r="95" spans="1:26" ht="14.1" customHeight="1" thickBot="1">
      <c r="A95" s="4"/>
      <c r="B95" s="177"/>
      <c r="C95" s="280"/>
      <c r="D95" s="4"/>
      <c r="E95" s="177"/>
      <c r="G95" s="166"/>
      <c r="L95" s="4"/>
      <c r="N95" s="431"/>
      <c r="P95" s="375">
        <f>P94-O94</f>
        <v>1324.7199999999998</v>
      </c>
      <c r="Q95" s="293" t="s">
        <v>260</v>
      </c>
      <c r="S95" s="443">
        <f>P95</f>
        <v>1324.7199999999998</v>
      </c>
      <c r="U95" s="181" t="str">
        <f>Q95</f>
        <v>SC</v>
      </c>
      <c r="V95" s="319"/>
      <c r="W95" s="377" t="e">
        <f>IF(('Val-Départ'!#REF!=""),"",VLOOKUP('Val-Départ'!#REF!,'Val-Départ'!G46:AM46,7,FALSE))</f>
        <v>#REF!</v>
      </c>
      <c r="X95" s="249"/>
    </row>
    <row r="96" spans="1:26" ht="14.1" customHeight="1">
      <c r="A96" s="4"/>
      <c r="B96" s="177"/>
      <c r="C96" s="280"/>
      <c r="D96" s="4"/>
      <c r="E96" s="177"/>
      <c r="G96" s="166"/>
      <c r="H96" s="1621" t="s">
        <v>1838</v>
      </c>
      <c r="I96" s="1622"/>
      <c r="J96" s="1622"/>
      <c r="K96" s="1622"/>
      <c r="L96" s="1622"/>
      <c r="M96" s="1460">
        <f>(C98-O94)</f>
        <v>0</v>
      </c>
      <c r="N96" s="182"/>
      <c r="V96" s="291"/>
      <c r="W96" s="462" t="e">
        <f>SUM(W82:W95)</f>
        <v>#N/A</v>
      </c>
    </row>
    <row r="97" spans="1:26" ht="14.1" customHeight="1" thickBot="1">
      <c r="A97" s="249"/>
      <c r="B97" s="249"/>
      <c r="C97" s="961"/>
      <c r="D97" s="249"/>
      <c r="E97" s="177"/>
      <c r="G97" s="166"/>
      <c r="L97" s="4"/>
    </row>
    <row r="98" spans="1:26" ht="14.1" customHeight="1" thickBot="1">
      <c r="A98" s="4" t="s">
        <v>257</v>
      </c>
      <c r="B98" s="168">
        <f>SUM(B81:B97)</f>
        <v>6581.5819000000001</v>
      </c>
      <c r="C98" s="168">
        <f>SUM(C82:C97)</f>
        <v>1650</v>
      </c>
      <c r="D98" s="4" t="s">
        <v>256</v>
      </c>
      <c r="E98" s="177"/>
      <c r="F98" s="207" t="s">
        <v>274</v>
      </c>
      <c r="G98" s="251">
        <f>B98-C98</f>
        <v>4931.5819000000001</v>
      </c>
      <c r="K98" s="182"/>
      <c r="L98" s="223"/>
    </row>
    <row r="99" spans="1:26" s="737" customFormat="1" ht="14.1" customHeight="1">
      <c r="A99" s="4"/>
      <c r="B99" s="4"/>
      <c r="C99" s="4"/>
      <c r="D99" s="4"/>
      <c r="E99" s="177"/>
      <c r="G99" s="166"/>
      <c r="K99" s="182"/>
      <c r="L99" s="223"/>
      <c r="Q99" s="6"/>
    </row>
    <row r="100" spans="1:26" ht="14.1" customHeight="1" thickBot="1">
      <c r="A100" s="4"/>
      <c r="B100" s="4"/>
      <c r="C100" s="4"/>
      <c r="D100" s="4"/>
      <c r="E100" s="177"/>
      <c r="G100" s="166"/>
    </row>
    <row r="101" spans="1:26" ht="14.1" customHeight="1" thickTop="1" thickBot="1">
      <c r="A101" s="1728" t="s">
        <v>281</v>
      </c>
      <c r="B101" s="1729"/>
      <c r="C101" s="1726" t="s">
        <v>280</v>
      </c>
      <c r="D101" s="1727"/>
      <c r="E101" s="177"/>
      <c r="G101" s="166"/>
      <c r="H101" s="4"/>
      <c r="V101" s="21"/>
      <c r="W101" s="444"/>
    </row>
    <row r="102" spans="1:26" ht="14.1" customHeight="1" thickTop="1">
      <c r="A102" s="1730" t="s">
        <v>1869</v>
      </c>
      <c r="B102" s="1731"/>
      <c r="C102" s="1732" t="s">
        <v>1868</v>
      </c>
      <c r="D102" s="1733"/>
      <c r="G102" s="166"/>
      <c r="H102" s="4"/>
      <c r="O102" s="166"/>
      <c r="V102" s="21"/>
      <c r="W102" s="444"/>
    </row>
    <row r="103" spans="1:26" s="737" customFormat="1" ht="14.1" customHeight="1">
      <c r="A103" s="1501"/>
      <c r="B103" s="1736" t="s">
        <v>1871</v>
      </c>
      <c r="C103" s="1736"/>
      <c r="D103" s="1502"/>
      <c r="G103" s="166"/>
      <c r="H103" s="4"/>
      <c r="K103" s="4"/>
      <c r="O103" s="166"/>
      <c r="Q103" s="6"/>
      <c r="V103" s="21"/>
      <c r="W103" s="444"/>
    </row>
    <row r="104" spans="1:26" ht="14.1" customHeight="1" thickBot="1">
      <c r="A104" s="189" t="s">
        <v>257</v>
      </c>
      <c r="B104" s="316">
        <v>550</v>
      </c>
      <c r="C104" s="265" t="s">
        <v>217</v>
      </c>
      <c r="D104" s="186" t="s">
        <v>256</v>
      </c>
      <c r="G104" s="166"/>
      <c r="I104" s="4"/>
      <c r="O104" s="166"/>
      <c r="V104" s="21"/>
      <c r="W104" s="444"/>
    </row>
    <row r="105" spans="1:26" ht="14.1" customHeight="1">
      <c r="A105" s="290" t="s">
        <v>278</v>
      </c>
      <c r="B105" s="263">
        <f>IF(ISNA(VLOOKUP($C$104,'Val-Départ'!$T$3:$W$8,4,FALSE)),,VLOOKUP($C$104,'Val-Départ'!$T$3:$W$8,4,FALSE))</f>
        <v>4338.1400000000003</v>
      </c>
      <c r="C105" s="289" t="s">
        <v>279</v>
      </c>
      <c r="D105" s="288"/>
      <c r="G105" s="166"/>
      <c r="I105" s="231"/>
      <c r="O105" s="166"/>
      <c r="V105" s="21"/>
      <c r="W105" s="444"/>
    </row>
    <row r="106" spans="1:26" ht="14.1" customHeight="1">
      <c r="A106" s="283">
        <v>35</v>
      </c>
      <c r="B106" s="280">
        <f>C82</f>
        <v>550</v>
      </c>
      <c r="C106" s="287">
        <f>IF(ISNA(VLOOKUP('Val-Départ'!B35, 'Val-Départ'!B35:AK45, 35, FALSE)), , VLOOKUP( 'Val-Départ'!B35, 'Val-Départ'!B35:AK45, 35, FALSE))</f>
        <v>550</v>
      </c>
      <c r="D106" s="286"/>
      <c r="G106" s="276"/>
      <c r="O106" s="166"/>
      <c r="V106" s="21"/>
      <c r="W106" s="21"/>
    </row>
    <row r="107" spans="1:26" ht="14.1" customHeight="1">
      <c r="A107" s="283">
        <v>36</v>
      </c>
      <c r="B107" s="280">
        <f t="shared" ref="B107:B117" si="0">C83</f>
        <v>550</v>
      </c>
      <c r="C107" s="287">
        <f>IF(ISNA(VLOOKUP('Val-Départ'!B36, 'Val-Départ'!B36:AK46, 35, FALSE)), , VLOOKUP( 'Val-Départ'!B36, 'Val-Départ'!B36:AK46, 35, FALSE))</f>
        <v>550</v>
      </c>
      <c r="D107" s="285"/>
      <c r="G107" s="276"/>
      <c r="O107" s="166"/>
      <c r="Q107" s="8"/>
      <c r="R107" s="4"/>
    </row>
    <row r="108" spans="1:26" ht="14.1" customHeight="1">
      <c r="A108" s="283">
        <v>37</v>
      </c>
      <c r="B108" s="280">
        <f t="shared" si="0"/>
        <v>550</v>
      </c>
      <c r="C108" s="287">
        <f>IF(ISNA(VLOOKUP('Val-Départ'!B37, 'Val-Départ'!B37:AK47, 35, FALSE)), , VLOOKUP( 'Val-Départ'!B37, 'Val-Départ'!B37:AK47, 35, FALSE))</f>
        <v>550</v>
      </c>
      <c r="D108" s="285"/>
      <c r="G108" s="284"/>
      <c r="H108" s="4"/>
      <c r="O108" s="166"/>
      <c r="Q108" s="8"/>
      <c r="R108" s="4"/>
    </row>
    <row r="109" spans="1:26" ht="14.1" customHeight="1">
      <c r="A109" s="283">
        <v>38</v>
      </c>
      <c r="B109" s="280">
        <f t="shared" si="0"/>
        <v>0</v>
      </c>
      <c r="C109" s="287">
        <f>IF(ISNA(VLOOKUP('Val-Départ'!B38, 'Val-Départ'!B38:AK48, 35, FALSE)), , VLOOKUP( 'Val-Départ'!B38, 'Val-Départ'!B38:AK48, 35, FALSE))</f>
        <v>0</v>
      </c>
      <c r="D109" s="285"/>
      <c r="E109" s="166"/>
      <c r="G109" s="284"/>
      <c r="O109" s="166"/>
    </row>
    <row r="110" spans="1:26" ht="14.1" customHeight="1">
      <c r="A110" s="283">
        <v>39</v>
      </c>
      <c r="B110" s="280">
        <f t="shared" si="0"/>
        <v>0</v>
      </c>
      <c r="C110" s="287">
        <f>IF(ISNA(VLOOKUP('Val-Départ'!B39, 'Val-Départ'!B39:AK49, 35, FALSE)), , VLOOKUP( 'Val-Départ'!B39, 'Val-Départ'!B39:AK49, 35, FALSE))</f>
        <v>0</v>
      </c>
      <c r="D110" s="281"/>
      <c r="E110" s="166"/>
      <c r="G110" s="282"/>
      <c r="O110" s="166"/>
    </row>
    <row r="111" spans="1:26" ht="14.1" customHeight="1">
      <c r="A111" s="169" t="s">
        <v>477</v>
      </c>
      <c r="B111" s="280">
        <f t="shared" si="0"/>
        <v>0</v>
      </c>
      <c r="C111" s="287">
        <f>IF(ISNA(VLOOKUP('Val-Départ'!B40, 'Val-Départ'!B40:AK50, 35, FALSE)), , VLOOKUP( 'Val-Départ'!B40, 'Val-Départ'!B40:AK50, 35, FALSE))</f>
        <v>0</v>
      </c>
      <c r="D111" s="281"/>
      <c r="E111" s="166"/>
      <c r="G111" s="276"/>
      <c r="O111" s="166"/>
      <c r="Z111" s="4"/>
    </row>
    <row r="112" spans="1:26" ht="14.1" customHeight="1">
      <c r="A112" s="169" t="s">
        <v>478</v>
      </c>
      <c r="B112" s="280">
        <f t="shared" si="0"/>
        <v>0</v>
      </c>
      <c r="C112" s="287">
        <f>IF(ISNA(VLOOKUP('Val-Départ'!B41, 'Val-Départ'!B41:AK51, 35, FALSE)), , VLOOKUP( 'Val-Départ'!B41, 'Val-Départ'!B41:AK51, 35, FALSE))</f>
        <v>0</v>
      </c>
      <c r="D112" s="279"/>
      <c r="G112" s="276"/>
      <c r="O112" s="166"/>
      <c r="Z112" s="231"/>
    </row>
    <row r="113" spans="1:25" ht="14.1" customHeight="1" thickBot="1">
      <c r="A113" s="278" t="s">
        <v>479</v>
      </c>
      <c r="B113" s="280">
        <f t="shared" si="0"/>
        <v>0</v>
      </c>
      <c r="C113" s="287">
        <f>IF(ISNA(VLOOKUP('Val-Départ'!B42, 'Val-Départ'!B42:AK52, 35, FALSE)), , VLOOKUP( 'Val-Départ'!B42, 'Val-Départ'!B42:AK52, 35, FALSE))</f>
        <v>0</v>
      </c>
      <c r="D113" s="277"/>
      <c r="E113" s="168"/>
      <c r="G113" s="276"/>
      <c r="O113" s="166"/>
      <c r="Y113" s="4"/>
    </row>
    <row r="114" spans="1:25" ht="14.1" customHeight="1">
      <c r="A114" s="169" t="s">
        <v>480</v>
      </c>
      <c r="B114" s="280">
        <f t="shared" si="0"/>
        <v>0</v>
      </c>
      <c r="C114" s="287">
        <f>IF(ISNA(VLOOKUP('Val-Départ'!B43, 'Val-Départ'!B43:AK53, 35, FALSE)), , VLOOKUP( 'Val-Départ'!B43, 'Val-Départ'!B43:AK53, 35, FALSE))</f>
        <v>0</v>
      </c>
      <c r="D114" s="4"/>
      <c r="E114" s="168"/>
      <c r="G114" s="276"/>
      <c r="O114" s="166"/>
      <c r="Y114" s="4"/>
    </row>
    <row r="115" spans="1:25" ht="14.1" customHeight="1">
      <c r="A115" s="169" t="s">
        <v>89</v>
      </c>
      <c r="B115" s="280">
        <f t="shared" si="0"/>
        <v>0</v>
      </c>
      <c r="C115" s="287">
        <f>IF(ISNA(VLOOKUP('Val-Départ'!B44, 'Val-Départ'!B44:AK54, 35, FALSE)), , VLOOKUP( 'Val-Départ'!B44, 'Val-Départ'!B44:AK54, 35, FALSE))</f>
        <v>0</v>
      </c>
      <c r="D115" s="4"/>
      <c r="E115" s="168"/>
      <c r="G115" s="276"/>
      <c r="O115" s="166"/>
      <c r="T115" s="4"/>
      <c r="U115" s="4"/>
      <c r="V115" s="4"/>
      <c r="W115" s="4"/>
      <c r="X115" s="4"/>
      <c r="Y115" s="4"/>
    </row>
    <row r="116" spans="1:25" ht="14.1" customHeight="1">
      <c r="A116" s="169"/>
      <c r="B116" s="280">
        <f t="shared" si="0"/>
        <v>0</v>
      </c>
      <c r="C116" s="287">
        <f>IF(ISNA(VLOOKUP('Val-Départ'!B45, 'Val-Départ'!B45:AK55, 35, FALSE)), , VLOOKUP( 'Val-Départ'!B45, 'Val-Départ'!B45:AK55, 35, FALSE))</f>
        <v>0</v>
      </c>
      <c r="D116" s="4"/>
      <c r="E116" s="168"/>
      <c r="G116" s="276"/>
      <c r="O116" s="166"/>
      <c r="T116" s="4"/>
      <c r="U116" s="4"/>
      <c r="V116" s="4"/>
      <c r="W116" s="4"/>
      <c r="X116" s="4"/>
      <c r="Y116" s="4"/>
    </row>
    <row r="117" spans="1:25" s="737" customFormat="1" ht="14.1" customHeight="1" thickBot="1">
      <c r="A117" s="278"/>
      <c r="B117" s="961">
        <f t="shared" si="0"/>
        <v>0</v>
      </c>
      <c r="C117" s="962"/>
      <c r="D117" s="249"/>
      <c r="E117" s="168"/>
      <c r="G117" s="276"/>
      <c r="K117" s="4"/>
      <c r="O117" s="166"/>
      <c r="Q117" s="6"/>
      <c r="T117" s="4"/>
      <c r="U117" s="4"/>
      <c r="V117" s="4"/>
      <c r="W117" s="4"/>
      <c r="X117" s="4"/>
      <c r="Y117" s="4"/>
    </row>
    <row r="118" spans="1:25" ht="14.1" customHeight="1" thickBot="1">
      <c r="A118" s="4" t="s">
        <v>257</v>
      </c>
      <c r="B118" s="963">
        <f>SUM(B105:B117)</f>
        <v>5988.14</v>
      </c>
      <c r="C118" s="275">
        <f>SUM(C106:C117)</f>
        <v>1650</v>
      </c>
      <c r="D118" s="274" t="s">
        <v>256</v>
      </c>
      <c r="E118" s="166"/>
      <c r="F118" s="207" t="s">
        <v>274</v>
      </c>
      <c r="G118" s="1459">
        <f>B118-C118</f>
        <v>4338.1400000000003</v>
      </c>
      <c r="H118" s="345"/>
      <c r="O118" s="166"/>
      <c r="T118" s="4"/>
      <c r="U118" s="4"/>
      <c r="V118" s="4"/>
      <c r="W118" s="4"/>
      <c r="X118" s="4"/>
    </row>
    <row r="119" spans="1:25" s="737" customFormat="1" ht="14.1" customHeight="1">
      <c r="A119" s="4"/>
      <c r="B119" s="444"/>
      <c r="C119" s="275"/>
      <c r="D119" s="274"/>
      <c r="E119" s="166"/>
      <c r="F119" s="351"/>
      <c r="G119" s="345"/>
      <c r="H119" s="345"/>
      <c r="K119" s="4"/>
      <c r="O119" s="166"/>
      <c r="Q119" s="6"/>
      <c r="T119" s="4"/>
      <c r="U119" s="4"/>
      <c r="V119" s="4"/>
      <c r="W119" s="4"/>
      <c r="X119" s="4"/>
    </row>
    <row r="120" spans="1:25" s="737" customFormat="1" ht="14.1" customHeight="1">
      <c r="A120" s="4"/>
      <c r="B120" s="444"/>
      <c r="C120" s="275"/>
      <c r="D120" s="274"/>
      <c r="E120" s="166"/>
      <c r="F120" s="351"/>
      <c r="G120" s="345"/>
      <c r="H120" s="345"/>
      <c r="K120" s="4"/>
      <c r="O120" s="166"/>
      <c r="Q120" s="6"/>
      <c r="T120" s="4"/>
      <c r="U120" s="4"/>
      <c r="V120" s="4"/>
      <c r="W120" s="4"/>
      <c r="X120" s="4"/>
    </row>
    <row r="121" spans="1:25" s="737" customFormat="1" ht="14.1" customHeight="1">
      <c r="A121" s="4"/>
      <c r="B121" s="444"/>
      <c r="C121" s="275"/>
      <c r="D121" s="274"/>
      <c r="E121" s="166"/>
      <c r="F121" s="351"/>
      <c r="G121" s="345"/>
      <c r="H121" s="345"/>
      <c r="K121" s="4"/>
      <c r="O121" s="166"/>
      <c r="Q121" s="6"/>
      <c r="T121" s="4"/>
      <c r="U121" s="4"/>
      <c r="V121" s="4"/>
      <c r="W121" s="4"/>
      <c r="X121" s="4"/>
    </row>
    <row r="122" spans="1:25" ht="14.1" customHeight="1" thickBot="1">
      <c r="A122" s="249" t="s">
        <v>257</v>
      </c>
      <c r="B122" s="225">
        <v>4119</v>
      </c>
      <c r="C122" s="450" t="s">
        <v>372</v>
      </c>
      <c r="D122" s="451" t="s">
        <v>256</v>
      </c>
      <c r="E122" s="166"/>
      <c r="F122" s="454" t="s">
        <v>257</v>
      </c>
      <c r="G122" s="455">
        <v>4117</v>
      </c>
      <c r="H122" s="454" t="s">
        <v>373</v>
      </c>
      <c r="I122" s="249" t="s">
        <v>256</v>
      </c>
      <c r="O122" s="166"/>
      <c r="T122" s="4"/>
      <c r="U122" s="4"/>
      <c r="V122" s="4"/>
      <c r="W122" s="4"/>
      <c r="X122" s="4"/>
    </row>
    <row r="123" spans="1:25" ht="14.1" customHeight="1">
      <c r="A123" s="4"/>
      <c r="B123" s="217"/>
      <c r="C123" s="452">
        <f>IF(ISNA(VLOOKUP($C$122,'Val-Départ'!$D$54:$F$54,2,FALSE)),,VLOOKUP($C$122,'Val-Départ'!$D$54:$F$54,2,FALSE))</f>
        <v>0</v>
      </c>
      <c r="D123" s="274"/>
      <c r="E123" s="166"/>
      <c r="F123" s="351"/>
      <c r="G123" s="315">
        <f>IF(ISNA(VLOOKUP($C$122,'Val-Départ'!$D$54:$F$54,2,FALSE)),,VLOOKUP($C$122,'Val-Départ'!$D$54:$F$54,2,FALSE))</f>
        <v>0</v>
      </c>
      <c r="H123" s="345"/>
      <c r="O123" s="166"/>
    </row>
    <row r="124" spans="1:25" ht="14.1" customHeight="1">
      <c r="A124" s="4"/>
      <c r="B124" s="257"/>
      <c r="C124" s="453">
        <f>IF(ISNA(VLOOKUP($C$122,'Val-Départ'!$D$55:$F$55,2,FALSE)),,VLOOKUP($C$122,'Val-Départ'!$D$55:$F$55,2,FALSE))</f>
        <v>0</v>
      </c>
      <c r="D124" s="274"/>
      <c r="E124" s="166"/>
      <c r="F124" s="351"/>
      <c r="G124" s="315">
        <f>IF(ISNA(VLOOKUP($C$122,'Val-Départ'!$D$55:$F$55,2,FALSE)),,VLOOKUP($C$122,'Val-Départ'!$D$55:$F$55,2,FALSE))</f>
        <v>0</v>
      </c>
      <c r="H124" s="345"/>
      <c r="O124" s="166"/>
    </row>
    <row r="125" spans="1:25" ht="14.1" customHeight="1">
      <c r="A125" s="222"/>
      <c r="B125" s="446"/>
      <c r="C125" s="21"/>
      <c r="D125" s="447"/>
      <c r="E125" s="21"/>
      <c r="F125" s="21"/>
      <c r="G125" s="446"/>
      <c r="O125" s="166"/>
    </row>
    <row r="126" spans="1:25" ht="14.1" customHeight="1">
      <c r="A126" s="4"/>
      <c r="B126" s="273"/>
      <c r="C126" s="272"/>
      <c r="D126" s="272"/>
      <c r="G126" s="166"/>
      <c r="I126" s="345"/>
      <c r="O126" s="166"/>
    </row>
    <row r="127" spans="1:25" ht="14.1" customHeight="1">
      <c r="A127" s="4"/>
      <c r="B127" s="4"/>
      <c r="C127" s="1478"/>
      <c r="D127" s="134"/>
      <c r="E127" s="448"/>
      <c r="F127" s="448"/>
      <c r="G127" s="448"/>
      <c r="H127" s="448"/>
      <c r="O127" s="166"/>
    </row>
    <row r="128" spans="1:25" ht="14.1" customHeight="1" thickBot="1">
      <c r="A128" s="189" t="s">
        <v>257</v>
      </c>
      <c r="B128" s="266">
        <v>560</v>
      </c>
      <c r="C128" s="271" t="s">
        <v>214</v>
      </c>
      <c r="D128" s="186" t="s">
        <v>256</v>
      </c>
      <c r="G128" s="166"/>
      <c r="O128" s="166"/>
    </row>
    <row r="129" spans="1:17" ht="14.1" customHeight="1">
      <c r="A129" s="264" t="s">
        <v>278</v>
      </c>
      <c r="B129" s="263">
        <f>IF(ISNA(VLOOKUP($C$128,'Val-Départ'!$J$3:$O$8,6,FALSE)),,VLOOKUP($C$128,'Val-Départ'!$J$3:$O$8,6,FALSE))</f>
        <v>1239.47</v>
      </c>
      <c r="C129" s="262" t="s">
        <v>277</v>
      </c>
      <c r="D129" s="270"/>
      <c r="G129" s="166"/>
      <c r="J129" s="345"/>
      <c r="K129" s="345"/>
      <c r="L129" s="345"/>
      <c r="M129" s="345"/>
      <c r="O129" s="166"/>
    </row>
    <row r="130" spans="1:17" ht="14.1" customHeight="1">
      <c r="A130" s="260"/>
      <c r="B130" s="185">
        <v>0</v>
      </c>
      <c r="C130" s="223">
        <v>0</v>
      </c>
      <c r="D130" s="177"/>
      <c r="G130" s="166"/>
      <c r="O130" s="166"/>
    </row>
    <row r="131" spans="1:17" s="737" customFormat="1" ht="14.1" customHeight="1">
      <c r="A131" s="260"/>
      <c r="B131" s="185"/>
      <c r="C131" s="223"/>
      <c r="D131" s="177"/>
      <c r="G131" s="166"/>
      <c r="K131" s="4"/>
      <c r="O131" s="166"/>
      <c r="Q131" s="6"/>
    </row>
    <row r="132" spans="1:17" s="737" customFormat="1" ht="14.1" customHeight="1">
      <c r="A132" s="260"/>
      <c r="B132" s="185"/>
      <c r="C132" s="223"/>
      <c r="D132" s="177"/>
      <c r="G132" s="166"/>
      <c r="K132" s="4"/>
      <c r="O132" s="166"/>
      <c r="Q132" s="6"/>
    </row>
    <row r="133" spans="1:17" s="737" customFormat="1" ht="14.1" customHeight="1">
      <c r="A133" s="260"/>
      <c r="B133" s="185"/>
      <c r="C133" s="223"/>
      <c r="D133" s="177"/>
      <c r="G133" s="166"/>
      <c r="K133" s="4"/>
      <c r="O133" s="166"/>
      <c r="Q133" s="6"/>
    </row>
    <row r="134" spans="1:17" s="737" customFormat="1" ht="14.1" customHeight="1">
      <c r="A134" s="260"/>
      <c r="B134" s="185"/>
      <c r="C134" s="223"/>
      <c r="D134" s="177"/>
      <c r="G134" s="166"/>
      <c r="K134" s="4"/>
      <c r="O134" s="166"/>
      <c r="Q134" s="6"/>
    </row>
    <row r="135" spans="1:17" s="737" customFormat="1" ht="14.1" customHeight="1">
      <c r="A135" s="260"/>
      <c r="B135" s="185"/>
      <c r="C135" s="223"/>
      <c r="D135" s="177"/>
      <c r="G135" s="166"/>
      <c r="K135" s="4"/>
      <c r="O135" s="166"/>
      <c r="Q135" s="6"/>
    </row>
    <row r="136" spans="1:17" s="737" customFormat="1" ht="14.1" customHeight="1">
      <c r="A136" s="260"/>
      <c r="B136" s="185"/>
      <c r="C136" s="223"/>
      <c r="D136" s="177"/>
      <c r="G136" s="166"/>
      <c r="K136" s="4"/>
      <c r="O136" s="166"/>
      <c r="Q136" s="6"/>
    </row>
    <row r="137" spans="1:17" s="737" customFormat="1" ht="14.1" customHeight="1">
      <c r="A137" s="260"/>
      <c r="B137" s="185"/>
      <c r="C137" s="223"/>
      <c r="D137" s="177"/>
      <c r="G137" s="166"/>
      <c r="K137" s="4"/>
      <c r="O137" s="166"/>
      <c r="Q137" s="6"/>
    </row>
    <row r="138" spans="1:17" ht="14.1" customHeight="1">
      <c r="A138" s="260"/>
      <c r="B138" s="185">
        <v>0</v>
      </c>
      <c r="C138" s="223">
        <v>0</v>
      </c>
      <c r="D138" s="177"/>
      <c r="G138" s="166"/>
      <c r="N138" s="345"/>
      <c r="O138" s="345"/>
    </row>
    <row r="139" spans="1:17" ht="21" customHeight="1" thickBot="1">
      <c r="A139" s="177"/>
      <c r="B139" s="257">
        <v>0</v>
      </c>
      <c r="C139" s="223">
        <v>0</v>
      </c>
      <c r="D139" s="177"/>
      <c r="G139" s="166"/>
      <c r="I139" s="448"/>
      <c r="J139" s="448"/>
      <c r="K139" s="448"/>
      <c r="L139" s="448"/>
      <c r="M139" s="448"/>
      <c r="O139" s="166"/>
    </row>
    <row r="140" spans="1:17" ht="14.1" customHeight="1">
      <c r="A140" s="211"/>
      <c r="B140" s="217">
        <f>SUM(B129:B139)</f>
        <v>1239.47</v>
      </c>
      <c r="C140" s="212">
        <f>SUM(C129:C139)</f>
        <v>0</v>
      </c>
      <c r="D140" s="211"/>
      <c r="G140" s="166"/>
      <c r="O140" s="166"/>
    </row>
    <row r="141" spans="1:17" ht="14.1" customHeight="1" thickBot="1">
      <c r="A141" s="256" t="s">
        <v>261</v>
      </c>
      <c r="B141" s="267">
        <f>$B$140</f>
        <v>1239.47</v>
      </c>
      <c r="C141" s="269"/>
      <c r="D141" s="268"/>
      <c r="F141" t="s">
        <v>274</v>
      </c>
      <c r="G141" s="267">
        <f>$B$140</f>
        <v>1239.47</v>
      </c>
      <c r="N141" s="448"/>
      <c r="O141" s="448"/>
      <c r="P141" s="448"/>
      <c r="Q141" s="449"/>
    </row>
    <row r="142" spans="1:17" ht="14.1" customHeight="1">
      <c r="G142" s="166"/>
      <c r="I142" s="166"/>
      <c r="O142" s="166"/>
    </row>
    <row r="143" spans="1:17" s="737" customFormat="1" ht="14.1" customHeight="1">
      <c r="G143" s="166"/>
      <c r="I143" s="166"/>
      <c r="K143" s="4"/>
      <c r="O143" s="166"/>
      <c r="Q143" s="6"/>
    </row>
    <row r="144" spans="1:17" ht="14.1" customHeight="1" thickBot="1">
      <c r="A144" s="189" t="s">
        <v>257</v>
      </c>
      <c r="B144" s="266">
        <v>570</v>
      </c>
      <c r="C144" s="265" t="s">
        <v>219</v>
      </c>
      <c r="D144" s="186" t="s">
        <v>256</v>
      </c>
      <c r="G144" s="166"/>
      <c r="O144" s="166"/>
    </row>
    <row r="145" spans="1:26" ht="14.1" customHeight="1">
      <c r="A145" s="264" t="s">
        <v>278</v>
      </c>
      <c r="B145" s="263">
        <f>IF(ISNA(VLOOKUP($C$144,'Val-Départ'!$T$3:$W$8,4,FALSE)),,VLOOKUP($C$144,'Val-Départ'!$T$3:$W$8,4,FALSE))</f>
        <v>1611.31</v>
      </c>
      <c r="C145" s="262" t="s">
        <v>277</v>
      </c>
      <c r="D145" s="261"/>
      <c r="G145" s="166"/>
      <c r="O145" s="166"/>
    </row>
    <row r="146" spans="1:26" ht="14.1" customHeight="1">
      <c r="A146" s="260"/>
      <c r="B146" s="185">
        <v>0</v>
      </c>
      <c r="C146" s="223">
        <v>0</v>
      </c>
      <c r="D146" s="182"/>
      <c r="G146" s="166"/>
      <c r="O146" s="166"/>
    </row>
    <row r="147" spans="1:26" s="737" customFormat="1" ht="14.1" customHeight="1">
      <c r="A147" s="260"/>
      <c r="B147" s="185"/>
      <c r="C147" s="223"/>
      <c r="D147" s="182"/>
      <c r="G147" s="166"/>
      <c r="K147" s="4"/>
      <c r="O147" s="166"/>
      <c r="Q147" s="6"/>
    </row>
    <row r="148" spans="1:26" s="737" customFormat="1" ht="14.1" customHeight="1">
      <c r="A148" s="260"/>
      <c r="B148" s="185"/>
      <c r="C148" s="223"/>
      <c r="D148" s="182"/>
      <c r="G148" s="166"/>
      <c r="K148" s="4"/>
      <c r="O148" s="166"/>
      <c r="Q148" s="6"/>
    </row>
    <row r="149" spans="1:26" s="737" customFormat="1" ht="14.1" customHeight="1">
      <c r="A149" s="260"/>
      <c r="B149" s="185"/>
      <c r="C149" s="223"/>
      <c r="D149" s="182"/>
      <c r="G149" s="166"/>
      <c r="K149" s="4"/>
      <c r="O149" s="166"/>
      <c r="Q149" s="6"/>
    </row>
    <row r="150" spans="1:26" s="737" customFormat="1" ht="14.1" customHeight="1">
      <c r="A150" s="260"/>
      <c r="B150" s="185"/>
      <c r="C150" s="223"/>
      <c r="D150" s="182"/>
      <c r="G150" s="166"/>
      <c r="K150" s="4"/>
      <c r="O150" s="166"/>
      <c r="Q150" s="6"/>
    </row>
    <row r="151" spans="1:26" s="737" customFormat="1" ht="14.1" customHeight="1">
      <c r="A151" s="260"/>
      <c r="B151" s="185"/>
      <c r="C151" s="223"/>
      <c r="D151" s="182"/>
      <c r="G151" s="166"/>
      <c r="K151" s="4"/>
      <c r="O151" s="166"/>
      <c r="Q151" s="6"/>
    </row>
    <row r="152" spans="1:26" s="737" customFormat="1" ht="14.1" customHeight="1">
      <c r="A152" s="260"/>
      <c r="B152" s="185"/>
      <c r="C152" s="223"/>
      <c r="D152" s="182"/>
      <c r="G152" s="166"/>
      <c r="K152" s="4"/>
      <c r="O152" s="166"/>
      <c r="Q152" s="6"/>
    </row>
    <row r="153" spans="1:26" ht="14.1" customHeight="1">
      <c r="A153" s="260"/>
      <c r="B153" s="185">
        <v>0</v>
      </c>
      <c r="C153" s="223">
        <v>0</v>
      </c>
      <c r="D153" s="182"/>
      <c r="G153" s="166"/>
      <c r="O153" s="166"/>
      <c r="Y153" s="4"/>
    </row>
    <row r="154" spans="1:26" ht="14.1" customHeight="1">
      <c r="A154" s="260"/>
      <c r="B154" s="185">
        <v>0</v>
      </c>
      <c r="C154" s="223">
        <v>0</v>
      </c>
      <c r="D154" s="182"/>
      <c r="G154" s="166"/>
      <c r="O154" s="166"/>
      <c r="Y154" s="4"/>
    </row>
    <row r="155" spans="1:26" ht="14.1" customHeight="1" thickBot="1">
      <c r="A155" s="259"/>
      <c r="B155" s="258">
        <v>0</v>
      </c>
      <c r="C155" s="251">
        <v>0</v>
      </c>
      <c r="D155" s="249"/>
      <c r="G155" s="166"/>
      <c r="O155" s="166"/>
      <c r="T155" s="4"/>
      <c r="U155" s="4"/>
      <c r="V155" s="4"/>
      <c r="W155" s="4"/>
      <c r="X155" s="4"/>
      <c r="Y155" s="4"/>
      <c r="Z155" s="4"/>
    </row>
    <row r="156" spans="1:26" ht="14.1" customHeight="1">
      <c r="A156" s="211"/>
      <c r="B156" s="257">
        <f>SUM(B145:B155)</f>
        <v>1611.31</v>
      </c>
      <c r="C156" s="223">
        <f>SUM(C145:C155)</f>
        <v>0</v>
      </c>
      <c r="D156" s="4"/>
      <c r="G156" s="166"/>
      <c r="O156" s="166"/>
      <c r="T156" s="4"/>
      <c r="U156" s="4"/>
      <c r="V156" s="4"/>
      <c r="W156" s="4"/>
      <c r="X156" s="4"/>
      <c r="Y156" s="4"/>
      <c r="Z156" s="4"/>
    </row>
    <row r="157" spans="1:26" ht="14.1" customHeight="1" thickBot="1">
      <c r="A157" s="256" t="s">
        <v>261</v>
      </c>
      <c r="B157" s="254">
        <f>$B$156</f>
        <v>1611.31</v>
      </c>
      <c r="C157" s="4"/>
      <c r="D157" s="4"/>
      <c r="F157" s="255" t="s">
        <v>261</v>
      </c>
      <c r="G157" s="254">
        <f>$B$156</f>
        <v>1611.31</v>
      </c>
      <c r="O157" s="166"/>
      <c r="T157" s="4"/>
      <c r="U157" s="4"/>
      <c r="V157" s="4"/>
      <c r="W157" s="4"/>
      <c r="X157" s="4"/>
      <c r="Y157" s="4"/>
      <c r="Z157" s="4"/>
    </row>
    <row r="158" spans="1:26" ht="14.1" customHeight="1">
      <c r="G158" s="166"/>
      <c r="O158" s="166"/>
      <c r="T158" s="4"/>
      <c r="U158" s="4"/>
      <c r="V158" s="4"/>
      <c r="W158" s="4"/>
      <c r="X158" s="4"/>
      <c r="Z158" s="4"/>
    </row>
    <row r="159" spans="1:26" ht="14.1" customHeight="1">
      <c r="E159" s="177"/>
      <c r="G159" s="166"/>
      <c r="O159" s="166"/>
      <c r="T159" s="4"/>
      <c r="U159" s="4"/>
      <c r="V159" s="4"/>
      <c r="W159" s="4"/>
      <c r="X159" s="4"/>
      <c r="Z159" s="4"/>
    </row>
    <row r="160" spans="1:26" ht="14.1" customHeight="1" thickBot="1">
      <c r="D160" s="1623" t="s">
        <v>271</v>
      </c>
      <c r="E160" s="1623"/>
      <c r="F160" s="253" t="str">
        <f>A182</f>
        <v>sd</v>
      </c>
      <c r="G160" s="252">
        <f>B182</f>
        <v>1395.67</v>
      </c>
      <c r="O160" s="166"/>
    </row>
    <row r="161" spans="1:44" ht="14.1" customHeight="1" thickBot="1">
      <c r="D161" s="1624" t="s">
        <v>275</v>
      </c>
      <c r="E161" s="1624"/>
      <c r="F161" s="249" t="str">
        <f>F182</f>
        <v>sd</v>
      </c>
      <c r="G161" s="251">
        <f>G182</f>
        <v>449.26350000000002</v>
      </c>
      <c r="O161" s="166"/>
    </row>
    <row r="162" spans="1:44" ht="14.1" customHeight="1" thickBot="1">
      <c r="C162" s="184"/>
      <c r="D162" s="4"/>
      <c r="F162" s="4" t="s">
        <v>274</v>
      </c>
      <c r="G162" s="1496">
        <f>SUM(G161,G160,G157,G141,G118,G98,G74,G60,G44,G30,G15)</f>
        <v>26360.115400000002</v>
      </c>
      <c r="H162" s="1734" t="s">
        <v>1866</v>
      </c>
      <c r="I162" s="1735"/>
      <c r="J162" s="1735"/>
      <c r="K162" s="1735"/>
      <c r="L162" s="1735"/>
      <c r="M162" s="1495">
        <f>(G162-O162)</f>
        <v>4088.3722000000016</v>
      </c>
      <c r="N162" s="1494"/>
      <c r="O162" s="1496">
        <f>SUM(R182,M182,P95,P27,P15)</f>
        <v>22271.743200000001</v>
      </c>
      <c r="P162" t="s">
        <v>260</v>
      </c>
    </row>
    <row r="163" spans="1:44" ht="14.1" customHeight="1">
      <c r="C163" s="184"/>
      <c r="D163" s="4"/>
      <c r="E163" s="246"/>
      <c r="G163" s="248" t="s">
        <v>273</v>
      </c>
      <c r="K163" s="371"/>
      <c r="L163" s="371"/>
      <c r="M163" s="372"/>
      <c r="N163" s="1135"/>
      <c r="O163" s="247" t="s">
        <v>272</v>
      </c>
      <c r="P163" s="231"/>
    </row>
    <row r="164" spans="1:44" ht="1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371"/>
      <c r="L164" s="371"/>
      <c r="M164" s="372"/>
      <c r="N164" s="373"/>
      <c r="O164" s="374"/>
      <c r="P164" s="231"/>
      <c r="R164" s="246"/>
      <c r="S164" s="231"/>
      <c r="AD164" s="230"/>
      <c r="AE164" s="230"/>
      <c r="AF164" s="230"/>
      <c r="AG164" s="230"/>
      <c r="AH164" s="230"/>
      <c r="AI164" s="230"/>
      <c r="AJ164" s="230"/>
      <c r="AK164" s="230"/>
      <c r="AL164" s="230"/>
      <c r="AM164" s="230"/>
      <c r="AN164" s="230"/>
      <c r="AO164" s="230"/>
      <c r="AP164" s="230"/>
      <c r="AQ164" s="230"/>
      <c r="AR164" s="230"/>
    </row>
    <row r="165" spans="1:44" s="230" customFormat="1" ht="15" customHeight="1" thickBot="1">
      <c r="A165" s="349"/>
      <c r="B165" s="377"/>
      <c r="C165" s="349"/>
      <c r="D165" s="349"/>
      <c r="E165" s="349"/>
      <c r="F165" s="12"/>
      <c r="G165" s="12"/>
      <c r="H165" s="246"/>
      <c r="I165" s="370"/>
      <c r="J165" s="370"/>
      <c r="K165" s="369"/>
      <c r="L165" s="369"/>
      <c r="M165" s="369"/>
      <c r="N165" s="369"/>
      <c r="O165" s="369"/>
      <c r="P165" s="246"/>
      <c r="Q165" s="364"/>
      <c r="R165"/>
      <c r="S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</row>
    <row r="166" spans="1:44" ht="15" customHeight="1" thickTop="1" thickBot="1">
      <c r="A166" s="349"/>
      <c r="B166" s="349"/>
      <c r="C166" s="349"/>
      <c r="D166" s="349"/>
      <c r="E166" s="349"/>
      <c r="F166" s="12"/>
      <c r="G166" s="12"/>
      <c r="H166" s="386"/>
      <c r="I166" s="370"/>
      <c r="J166" s="370"/>
      <c r="K166" s="346"/>
      <c r="L166" s="241"/>
      <c r="M166" s="241"/>
      <c r="N166" s="245"/>
      <c r="O166" s="244"/>
      <c r="P166" s="244"/>
      <c r="Q166" s="365"/>
      <c r="R166" s="243"/>
      <c r="S166" s="242"/>
      <c r="AB166" t="s">
        <v>367</v>
      </c>
      <c r="AG166" t="s">
        <v>367</v>
      </c>
      <c r="AL166" t="s">
        <v>367</v>
      </c>
      <c r="AQ166" t="s">
        <v>367</v>
      </c>
    </row>
    <row r="167" spans="1:44" ht="15" customHeight="1" thickBot="1">
      <c r="A167" s="1724" t="s">
        <v>465</v>
      </c>
      <c r="B167" s="1725"/>
      <c r="C167" s="1725" t="s">
        <v>270</v>
      </c>
      <c r="D167" s="1725"/>
      <c r="E167" s="1725"/>
      <c r="F167" s="12"/>
      <c r="G167" s="1749" t="s">
        <v>65</v>
      </c>
      <c r="H167" s="1749"/>
      <c r="I167" s="370"/>
      <c r="J167" s="370"/>
      <c r="K167" s="241"/>
      <c r="L167" s="736" t="s">
        <v>269</v>
      </c>
      <c r="M167" s="736" t="s">
        <v>1864</v>
      </c>
      <c r="N167" s="241"/>
      <c r="O167" s="189"/>
      <c r="P167" s="189"/>
      <c r="Q167" s="1750" t="s">
        <v>65</v>
      </c>
      <c r="R167" s="1750"/>
      <c r="S167" s="240"/>
      <c r="U167" s="189" t="s">
        <v>266</v>
      </c>
      <c r="V167" s="188" t="s">
        <v>348</v>
      </c>
      <c r="W167" s="190" t="s">
        <v>267</v>
      </c>
      <c r="X167" s="186" t="s">
        <v>264</v>
      </c>
      <c r="Z167" s="189" t="s">
        <v>266</v>
      </c>
      <c r="AA167" s="188">
        <v>7050</v>
      </c>
      <c r="AB167" s="191" t="s">
        <v>308</v>
      </c>
      <c r="AC167" s="186" t="s">
        <v>264</v>
      </c>
      <c r="AE167" s="189" t="s">
        <v>266</v>
      </c>
      <c r="AF167" s="188">
        <v>7001</v>
      </c>
      <c r="AG167" s="187" t="s">
        <v>332</v>
      </c>
      <c r="AH167" s="186" t="s">
        <v>264</v>
      </c>
      <c r="AJ167" s="189" t="s">
        <v>266</v>
      </c>
      <c r="AK167" s="188">
        <v>70012</v>
      </c>
      <c r="AL167" s="187" t="s">
        <v>312</v>
      </c>
      <c r="AM167" s="186" t="s">
        <v>264</v>
      </c>
      <c r="AO167" s="189" t="s">
        <v>257</v>
      </c>
      <c r="AP167" s="188">
        <v>486</v>
      </c>
      <c r="AQ167" s="190" t="s">
        <v>333</v>
      </c>
      <c r="AR167" s="186" t="s">
        <v>264</v>
      </c>
    </row>
    <row r="168" spans="1:44" ht="15" customHeight="1" thickBot="1">
      <c r="A168" s="189" t="s">
        <v>257</v>
      </c>
      <c r="B168" s="188">
        <v>600</v>
      </c>
      <c r="C168" s="191" t="s">
        <v>268</v>
      </c>
      <c r="D168" s="186" t="s">
        <v>256</v>
      </c>
      <c r="E168" s="232"/>
      <c r="F168" s="237" t="s">
        <v>257</v>
      </c>
      <c r="G168" s="239" t="s">
        <v>345</v>
      </c>
      <c r="H168" s="238" t="s">
        <v>267</v>
      </c>
      <c r="I168" s="237" t="s">
        <v>256</v>
      </c>
      <c r="J168" s="236"/>
      <c r="K168" s="233" t="s">
        <v>266</v>
      </c>
      <c r="L168" s="235">
        <v>700</v>
      </c>
      <c r="M168" s="234" t="s">
        <v>265</v>
      </c>
      <c r="N168" s="233" t="s">
        <v>264</v>
      </c>
      <c r="O168" s="232"/>
      <c r="P168" s="233" t="s">
        <v>263</v>
      </c>
      <c r="Q168" s="432">
        <v>4510</v>
      </c>
      <c r="R168" s="1479" t="s">
        <v>324</v>
      </c>
      <c r="S168" s="433" t="s">
        <v>262</v>
      </c>
      <c r="U168" s="409"/>
      <c r="V168" s="410" t="s">
        <v>365</v>
      </c>
      <c r="W168" s="411"/>
      <c r="X168" s="412"/>
      <c r="Z168" s="4"/>
      <c r="AA168" s="185"/>
      <c r="AB168" s="185">
        <f>IF(ISNA(VLOOKUP($M$187,'Val-Départ'!$G$15:$P$26,3,FALSE)),,VLOOKUP($M$187,'Val-Départ'!$G$15:$P$26,3,FALSE))</f>
        <v>0</v>
      </c>
      <c r="AC168" s="182"/>
      <c r="AE168" s="4"/>
      <c r="AF168" s="185"/>
      <c r="AG168" s="185">
        <f>IF(ISNA(VLOOKUP($M$200,'Val-Départ'!$G$17:$W$26,7,FALSE)),,VLOOKUP($M$200,'Val-Départ'!$G$17:$W$26,7,FALSE))</f>
        <v>0</v>
      </c>
      <c r="AH168" s="182"/>
      <c r="AJ168" s="4"/>
      <c r="AK168" s="185"/>
      <c r="AL168" s="185">
        <f>IF(ISNA(VLOOKUP($M$213,'Val-Départ'!$G$22:$W$23,13,FALSE)),,VLOOKUP($M$213,'Val-Départ'!$G$22:$W$23,13,FALSE))</f>
        <v>0</v>
      </c>
      <c r="AM168" s="182"/>
      <c r="AO168" s="4"/>
      <c r="AP168" s="4"/>
      <c r="AQ168" s="227" t="str">
        <f>IF(('Val-Départ'!G20="Marchandise"),VLOOKUP('Val-Départ'!G20,'Val-Départ'!G20:W20,11,FALSE),"")</f>
        <v/>
      </c>
      <c r="AR168" s="182"/>
    </row>
    <row r="169" spans="1:44" ht="14.1" customHeight="1" thickBot="1">
      <c r="A169" s="220" t="s">
        <v>472</v>
      </c>
      <c r="B169" s="377" t="str">
        <f>IF(OR('Val-Départ'!G35="Marchandise",'Val-Départ'!G35=""),VLOOKUP('Val-Départ'!G35,'Val-Départ'!G35:AC35,8,FALSE),"")</f>
        <v/>
      </c>
      <c r="C169" s="378" t="str">
        <f>IF(('Val-Départ'!G35="note de crédit"),VLOOKUP('Val-Départ'!G35,'Val-Départ'!G35:AA35,8,FALSE ),"")</f>
        <v/>
      </c>
      <c r="D169" s="4"/>
      <c r="E169" s="177"/>
      <c r="F169" s="220" t="s">
        <v>472</v>
      </c>
      <c r="G169" s="377">
        <f>IF(OR('Val-Départ'!G35="Marchandise",  'Val-Départ'!G35="outillage", 'Val-Départ'!G35="mobilier", 'Val-Départ'!G35=""),VLOOKUP('Val-Départ'!G35,'Val-Départ'!G35:AA35,18,FALSE),"")</f>
        <v>156.1728</v>
      </c>
      <c r="H169" s="378" t="str">
        <f>IF(('Val-Départ'!G35="note de crédit"),VLOOKUP('Val-Départ'!G35,'Val-Départ'!G35:AA44,16,FALSE ),"")</f>
        <v/>
      </c>
      <c r="I169" s="4"/>
      <c r="J169" s="202"/>
      <c r="L169" s="376" t="str">
        <f>IF(OR('Val-Départ'!G13="note de crédit",'Val-Départ'!G13=""),VLOOKUP('Val-Départ'!G13,'Val-Départ'!G13:W13,14,FALSE),"")</f>
        <v/>
      </c>
      <c r="M169" s="227" t="str">
        <f>IF(('Val-Départ'!G13="Marchandise"),VLOOKUP('Val-Départ'!G13,'Val-Départ'!G13:W23,8,FALSE),"")</f>
        <v/>
      </c>
      <c r="N169" s="220" t="s">
        <v>37</v>
      </c>
      <c r="O169" s="4" t="s">
        <v>486</v>
      </c>
      <c r="P169" s="177"/>
      <c r="Q169" s="378" t="str">
        <f>IF(('Val-Départ'!G13="note de crédit"),VLOOKUP('Val-Départ'!G13,'Val-Départ'!G13:AA13,12,FALSE ),"")</f>
        <v/>
      </c>
      <c r="R169" s="227" t="str">
        <f>IF(('Val-Départ'!G13="Marchandise"),VLOOKUP('Val-Départ'!G13,'Val-Départ'!G13:W23,11,FALSE),"")</f>
        <v/>
      </c>
      <c r="S169" s="220" t="s">
        <v>37</v>
      </c>
      <c r="U169" s="4"/>
      <c r="V169" s="6"/>
      <c r="W169" s="389" t="str">
        <f>IF(OR('Val-Départ'!G13="note de crédit",'Val-Départ'!G13=""),VLOOKUP('Val-Départ'!G13,'Val-Départ'!G13:W24,10,FALSE),"")</f>
        <v/>
      </c>
      <c r="X169" s="182"/>
      <c r="Z169" s="4"/>
      <c r="AA169" s="177"/>
      <c r="AB169" s="185">
        <f>IF(ISNA(VLOOKUP($M$187,'Val-Départ'!$G$21:$P$26,3,FALSE)),,VLOOKUP($M$187,'Val-Départ'!$G$21:$P$26,3,FALSE))</f>
        <v>0</v>
      </c>
      <c r="AC169" s="440"/>
      <c r="AE169" s="4"/>
      <c r="AF169" s="185"/>
      <c r="AG169" s="4"/>
      <c r="AH169" s="182"/>
      <c r="AJ169" s="4"/>
      <c r="AK169" s="4"/>
      <c r="AL169" s="4"/>
      <c r="AM169" s="4"/>
      <c r="AO169" s="4"/>
      <c r="AQ169" s="227" t="str">
        <f>IF(('Val-Départ'!G21="Marchandise"),VLOOKUP('Val-Départ'!G21,'Val-Départ'!G21:W21,11,FALSE),"")</f>
        <v/>
      </c>
    </row>
    <row r="170" spans="1:44" ht="14.1" customHeight="1" thickBot="1">
      <c r="A170" s="220" t="s">
        <v>473</v>
      </c>
      <c r="B170" s="377">
        <f>IF(OR('Val-Départ'!G36="Marchandise",'Val-Départ'!G36=""),VLOOKUP('Val-Départ'!G36,'Val-Départ'!G36:AC36,8,FALSE),"")</f>
        <v>1395.67</v>
      </c>
      <c r="C170" s="378" t="str">
        <f>IF(('Val-Départ'!G36="note de crédit"),VLOOKUP('Val-Départ'!G36,'Val-Départ'!G36:AA36,8,FALSE ),"")</f>
        <v/>
      </c>
      <c r="D170" s="229"/>
      <c r="E170" s="177"/>
      <c r="F170" s="220" t="s">
        <v>473</v>
      </c>
      <c r="G170" s="377">
        <f>IF(OR('Val-Départ'!G36="Marchandise",  'Val-Départ'!G36="mobilier", 'Val-Départ'!G36=""),VLOOKUP('Val-Départ'!G36,'Val-Départ'!G36:AA36,18,FALSE),"")</f>
        <v>293.09070000000003</v>
      </c>
      <c r="H170" s="378" t="str">
        <f>IF(('Val-Départ'!G36="note de crédit"),VLOOKUP('Val-Départ'!G36,'Val-Départ'!G36:AA45,16,FALSE ),"")</f>
        <v/>
      </c>
      <c r="I170" s="4"/>
      <c r="J170" s="202"/>
      <c r="L170" s="376" t="str">
        <f>IF(OR('Val-Départ'!G14="note de crédit",'Val-Départ'!G14=""),VLOOKUP('Val-Départ'!G14,'Val-Départ'!G14:W14,14,FALSE),"")</f>
        <v/>
      </c>
      <c r="M170" s="227">
        <f>IF(('Val-Départ'!G14="Marchandise"),VLOOKUP('Val-Départ'!G14,'Val-Départ'!G14:W24,8,FALSE),"")</f>
        <v>921.92</v>
      </c>
      <c r="N170" s="220" t="s">
        <v>38</v>
      </c>
      <c r="O170" s="4" t="s">
        <v>481</v>
      </c>
      <c r="P170" s="177"/>
      <c r="Q170" s="378" t="str">
        <f>IF(('Val-Départ'!G14="note de crédit"),VLOOKUP('Val-Départ'!G14,'Val-Départ'!G14:AA14,12,FALSE ),"")</f>
        <v/>
      </c>
      <c r="R170" s="227">
        <f>IF(('Val-Départ'!G14="Marchandise"),VLOOKUP('Val-Départ'!G14,'Val-Départ'!G14:W24,11,FALSE),"")</f>
        <v>193.60319999999999</v>
      </c>
      <c r="S170" s="220" t="s">
        <v>38</v>
      </c>
      <c r="W170" s="389" t="str">
        <f>IF(OR('Val-Départ'!G14="note de crédit",'Val-Départ'!G14=""),VLOOKUP('Val-Départ'!G14,'Val-Départ'!G14:W25,10,FALSE),"")</f>
        <v/>
      </c>
      <c r="AQ170" s="227" t="str">
        <f>IF(('Val-Départ'!G22="Marchandise"),VLOOKUP('Val-Départ'!G22,'Val-Départ'!G22:W22,11,FALSE),"")</f>
        <v/>
      </c>
    </row>
    <row r="171" spans="1:44" ht="14.1" customHeight="1" thickBot="1">
      <c r="A171" s="220" t="s">
        <v>474</v>
      </c>
      <c r="B171" s="377">
        <f>IF(OR('Val-Départ'!G37="Marchandise",'Val-Départ'!G37=""),VLOOKUP('Val-Départ'!G37,'Val-Départ'!G37:AC37,8,FALSE),"")</f>
        <v>0</v>
      </c>
      <c r="C171" s="378" t="str">
        <f>IF(('Val-Départ'!G37="note de crédit"),VLOOKUP('Val-Départ'!G37,'Val-Départ'!G37:AA37,8,FALSE ),"")</f>
        <v/>
      </c>
      <c r="D171" s="177"/>
      <c r="E171" s="177"/>
      <c r="F171" s="220" t="s">
        <v>474</v>
      </c>
      <c r="G171" s="377">
        <f>IF(OR('Val-Départ'!G37="Marchandise",  'Val-Départ'!G37="mobilier", 'Val-Départ'!G37=""),VLOOKUP('Val-Départ'!G37,'Val-Départ'!G37:AA37,18,FALSE),"")</f>
        <v>0</v>
      </c>
      <c r="H171" s="378" t="str">
        <f>IF(('Val-Départ'!G37="note de crédit"),VLOOKUP('Val-Départ'!G37,'Val-Départ'!G37:AA46,16,FALSE ),"")</f>
        <v/>
      </c>
      <c r="I171" s="4"/>
      <c r="J171" s="202"/>
      <c r="L171" s="376" t="str">
        <f>IF(OR('Val-Départ'!G15="note de crédit",'Val-Départ'!G15=""),VLOOKUP('Val-Départ'!G15,'Val-Départ'!G15:W15,14,FALSE),"")</f>
        <v/>
      </c>
      <c r="M171" s="227" t="str">
        <f>IF(('Val-Départ'!G15="Marchandise"),VLOOKUP('Val-Départ'!G15,'Val-Départ'!G15:W25,8,FALSE),"")</f>
        <v/>
      </c>
      <c r="N171" s="220" t="s">
        <v>316</v>
      </c>
      <c r="O171" s="4" t="s">
        <v>489</v>
      </c>
      <c r="P171" s="177"/>
      <c r="Q171" s="378" t="str">
        <f>IF(('Val-Départ'!G15="note de crédit"),VLOOKUP('Val-Départ'!G15,'Val-Départ'!G15:AA15,12,FALSE ),"")</f>
        <v/>
      </c>
      <c r="R171" s="227" t="str">
        <f>IF(('Val-Départ'!G15="Marchandise"),VLOOKUP('Val-Départ'!G15,'Val-Départ'!G15:W25,11,FALSE),"")</f>
        <v/>
      </c>
      <c r="S171" s="220" t="s">
        <v>316</v>
      </c>
      <c r="W171" s="389" t="str">
        <f>IF(OR('Val-Départ'!G15="note de crédit",'Val-Départ'!G15=""),VLOOKUP('Val-Départ'!G15,'Val-Départ'!G15:W26,10,FALSE),"")</f>
        <v/>
      </c>
      <c r="AQ171" s="227" t="str">
        <f>IF(('Val-Départ'!G23="Marchandise"),VLOOKUP('Val-Départ'!G23,'Val-Départ'!G23:W23,11,FALSE),"")</f>
        <v/>
      </c>
    </row>
    <row r="172" spans="1:44" ht="14.1" customHeight="1" thickBot="1">
      <c r="A172" s="220" t="s">
        <v>475</v>
      </c>
      <c r="B172" s="377">
        <f>IF(OR('Val-Départ'!G38="Marchandise",'Val-Départ'!G38=""),VLOOKUP('Val-Départ'!G38,'Val-Départ'!G38:AC38,8,FALSE),"")</f>
        <v>0</v>
      </c>
      <c r="C172" s="378" t="str">
        <f>IF(('Val-Départ'!G38="note de crédit"),VLOOKUP('Val-Départ'!G38,'Val-Départ'!G38:AA38,8,FALSE ),"")</f>
        <v/>
      </c>
      <c r="D172" s="228"/>
      <c r="E172" s="177"/>
      <c r="F172" s="220" t="s">
        <v>475</v>
      </c>
      <c r="G172" s="377">
        <f>IF(OR('Val-Départ'!G38="Marchandise",  'Val-Départ'!G38="mobilier", 'Val-Départ'!G38=""),VLOOKUP('Val-Départ'!G38,'Val-Départ'!G38:AA38,18,FALSE),"")</f>
        <v>0</v>
      </c>
      <c r="H172" s="378" t="str">
        <f>IF(('Val-Départ'!G38="note de crédit"),VLOOKUP('Val-Départ'!G38,'Val-Départ'!G38:AA47,16,FALSE ),"")</f>
        <v/>
      </c>
      <c r="I172" s="4"/>
      <c r="J172" s="202"/>
      <c r="L172" s="376" t="str">
        <f>IF(OR('Val-Départ'!G16="note de crédit",'Val-Départ'!G16=""),VLOOKUP('Val-Départ'!G16,'Val-Départ'!G16:W16,14,FALSE),"")</f>
        <v/>
      </c>
      <c r="M172" s="227" t="str">
        <f>IF(('Val-Départ'!G16="Marchandise"),VLOOKUP('Val-Départ'!G16,'Val-Départ'!G16:W26,8,FALSE),"")</f>
        <v/>
      </c>
      <c r="N172" s="220" t="s">
        <v>317</v>
      </c>
      <c r="O172" s="4" t="s">
        <v>486</v>
      </c>
      <c r="P172" s="177"/>
      <c r="Q172" s="378" t="str">
        <f>IF(('Val-Départ'!G16="note de crédit"),VLOOKUP('Val-Départ'!G16,'Val-Départ'!G16:AA16,12,FALSE ),"")</f>
        <v/>
      </c>
      <c r="R172" s="227" t="str">
        <f>IF(('Val-Départ'!G16="Marchandise"),VLOOKUP('Val-Départ'!G16,'Val-Départ'!G16:W26,11,FALSE),"")</f>
        <v/>
      </c>
      <c r="S172" s="220" t="s">
        <v>317</v>
      </c>
      <c r="W172" s="389" t="str">
        <f>IF(OR('Val-Départ'!G16="note de crédit",'Val-Départ'!G16=""),VLOOKUP('Val-Départ'!G16,'Val-Départ'!G16:U27,10,FALSE),"")</f>
        <v/>
      </c>
      <c r="AQ172" s="227" t="str">
        <f>IF(('Val-Départ'!G24="Marchandise"),VLOOKUP('Val-Départ'!G24,'Val-Départ'!G24:W24,11,FALSE),"")</f>
        <v/>
      </c>
    </row>
    <row r="173" spans="1:44" ht="14.1" customHeight="1" thickBot="1">
      <c r="A173" s="220" t="s">
        <v>476</v>
      </c>
      <c r="B173" s="377" t="str">
        <f>IF(OR('Val-Départ'!G39="Marchandise",'Val-Départ'!G39=""),VLOOKUP('Val-Départ'!G39,'Val-Départ'!G39:AC39,8,FALSE),"")</f>
        <v/>
      </c>
      <c r="C173" s="378" t="str">
        <f>IF(('Val-Départ'!G39="note de crédit"),VLOOKUP('Val-Départ'!G39,'Val-Départ'!G39:AA39,8,FALSE ),"")</f>
        <v/>
      </c>
      <c r="D173" s="200"/>
      <c r="E173" s="4"/>
      <c r="F173" s="220" t="s">
        <v>476</v>
      </c>
      <c r="G173" s="377" t="str">
        <f>IF(OR('Val-Départ'!G39="Marchandise",  'Val-Départ'!G39="mobilier", 'Val-Départ'!G39=""),VLOOKUP('Val-Départ'!G39,'Val-Départ'!G39:AA39,18,FALSE),"")</f>
        <v/>
      </c>
      <c r="H173" s="378" t="str">
        <f>IF(('Val-Départ'!G39="note de crédit"),VLOOKUP('Val-Départ'!G39,'Val-Départ'!G39:AA48,16,FALSE ),"")</f>
        <v/>
      </c>
      <c r="I173" s="4"/>
      <c r="J173" s="202"/>
      <c r="L173" s="376" t="str">
        <f>IF(OR('Val-Départ'!G17="note de crédit",'Val-Départ'!G17=""),VLOOKUP('Val-Départ'!G17,'Val-Départ'!G17:W17,14,FALSE),"")</f>
        <v/>
      </c>
      <c r="M173" s="227">
        <f>IF(('Val-Départ'!G17="Marchandise"),VLOOKUP('Val-Départ'!G17,'Val-Départ'!G17:U27,8,FALSE),"")</f>
        <v>0</v>
      </c>
      <c r="N173" s="220" t="s">
        <v>318</v>
      </c>
      <c r="O173" s="4" t="s">
        <v>486</v>
      </c>
      <c r="P173" s="4"/>
      <c r="Q173" s="378" t="str">
        <f>IF(('Val-Départ'!G17="note de crédit"),VLOOKUP('Val-Départ'!G17,'Val-Départ'!G17:AA17,12,FALSE ),"")</f>
        <v/>
      </c>
      <c r="R173" s="227">
        <f>IF(('Val-Départ'!G17="Marchandise"),VLOOKUP('Val-Départ'!G17,'Val-Départ'!G17:W27,11,FALSE),"")</f>
        <v>0</v>
      </c>
      <c r="S173" s="220" t="s">
        <v>318</v>
      </c>
      <c r="W173" s="389" t="str">
        <f>IF(OR('Val-Départ'!G17="note de crédit",'Val-Départ'!G17=""),VLOOKUP('Val-Départ'!G17,'Val-Départ'!G17:T28,10,FALSE),"")</f>
        <v/>
      </c>
      <c r="AA173" s="439"/>
      <c r="AQ173" s="227" t="str">
        <f>IF(('Val-Départ'!G25="Marchandise"),VLOOKUP('Val-Départ'!G25,'Val-Départ'!G25:W25,11,FALSE),"")</f>
        <v/>
      </c>
    </row>
    <row r="174" spans="1:44" ht="14.1" customHeight="1" thickBot="1">
      <c r="A174" s="220" t="s">
        <v>477</v>
      </c>
      <c r="B174" s="377" t="str">
        <f>IF(OR('Val-Départ'!G40="Marchandise",'Val-Départ'!G40=""),VLOOKUP('Val-Départ'!G40,'Val-Départ'!G40:AC40,8,FALSE),"")</f>
        <v/>
      </c>
      <c r="C174" s="378">
        <f>IF(('Val-Départ'!G40="note de crédit"),VLOOKUP('Val-Départ'!G40,'Val-Départ'!G40:AA40,8,FALSE ),"")</f>
        <v>0</v>
      </c>
      <c r="D174" s="177" t="s">
        <v>328</v>
      </c>
      <c r="E174" s="4"/>
      <c r="F174" s="220" t="s">
        <v>477</v>
      </c>
      <c r="G174" s="377" t="str">
        <f>IF(OR('Val-Départ'!G40="Marchandise",  'Val-Départ'!G40="mobilier", 'Val-Départ'!G40=""),VLOOKUP('Val-Départ'!G40,'Val-Départ'!G40:AA40,18,FALSE),"")</f>
        <v/>
      </c>
      <c r="H174" s="378">
        <f>IF(('Val-Départ'!G40="note de crédit"),VLOOKUP('Val-Départ'!G40,'Val-Départ'!G40:AA49,16,FALSE ),"")</f>
        <v>0</v>
      </c>
      <c r="I174" s="4" t="s">
        <v>328</v>
      </c>
      <c r="J174" s="202"/>
      <c r="L174" s="376" t="str">
        <f>IF(OR('Val-Départ'!G18="note de crédit",'Val-Départ'!G18=""),VLOOKUP('Val-Départ'!G18,'Val-Départ'!G18:W18,14,FALSE),"")</f>
        <v/>
      </c>
      <c r="M174" s="227" t="str">
        <f>IF(('Val-Départ'!G18="Marchandise"),VLOOKUP('Val-Départ'!G18,'Val-Départ'!G18:U28,8,FALSE),"")</f>
        <v/>
      </c>
      <c r="N174" s="220" t="s">
        <v>319</v>
      </c>
      <c r="O174" s="4" t="s">
        <v>486</v>
      </c>
      <c r="P174" s="182"/>
      <c r="Q174" s="378" t="str">
        <f>IF(('Val-Départ'!G18="note de crédit"),VLOOKUP('Val-Départ'!G18,'Val-Départ'!G18:AA18,12,FALSE ),"")</f>
        <v/>
      </c>
      <c r="R174" s="227" t="str">
        <f>IF(('Val-Départ'!G18="Marchandise"),VLOOKUP('Val-Départ'!G18,'Val-Départ'!G18:W28,11,FALSE),"")</f>
        <v/>
      </c>
      <c r="S174" s="220" t="s">
        <v>319</v>
      </c>
      <c r="W174" s="389" t="str">
        <f>IF(OR('Val-Départ'!G18="note de crédit",'Val-Départ'!G18=""),VLOOKUP('Val-Départ'!G18,'Val-Départ'!G18:S29,10,FALSE),"")</f>
        <v/>
      </c>
      <c r="AQ174" s="227" t="str">
        <f>IF(('Val-Départ'!G26="Marchandise"),VLOOKUP('Val-Départ'!G26,'Val-Départ'!G26:W26,11,FALSE),"")</f>
        <v/>
      </c>
    </row>
    <row r="175" spans="1:44" ht="14.1" customHeight="1" thickBot="1">
      <c r="A175" s="220" t="s">
        <v>478</v>
      </c>
      <c r="B175" s="377" t="str">
        <f>IF(OR('Val-Départ'!G41="Marchandise",'Val-Départ'!G41=""),VLOOKUP('Val-Départ'!G41,'Val-Départ'!G41:AC41,8,FALSE),"")</f>
        <v/>
      </c>
      <c r="C175" s="378" t="str">
        <f>IF(('Val-Départ'!G41="note de crédit"),VLOOKUP('Val-Départ'!G41,'Val-Départ'!G41:AA41,8,FALSE ),"")</f>
        <v/>
      </c>
      <c r="D175" s="177"/>
      <c r="E175" s="4"/>
      <c r="F175" s="220" t="s">
        <v>478</v>
      </c>
      <c r="G175" s="377" t="str">
        <f>IF(OR('Val-Départ'!G41="Marchandise",  'Val-Départ'!G41="mobilier", 'Val-Départ'!G41=""),VLOOKUP('Val-Départ'!G41,'Val-Départ'!G41:AA41,18,FALSE),"")</f>
        <v/>
      </c>
      <c r="H175" s="378" t="str">
        <f>IF(('Val-Départ'!G41="note de crédit"),VLOOKUP('Val-Départ'!G41,'Val-Départ'!G41:AA50,16,FALSE ),"")</f>
        <v/>
      </c>
      <c r="I175" s="4"/>
      <c r="J175" s="202"/>
      <c r="L175" s="376" t="str">
        <f>IF(OR('Val-Départ'!G19="note de crédit",'Val-Départ'!G19=""),VLOOKUP('Val-Départ'!G19,'Val-Départ'!G19:W19,14,FALSE),"")</f>
        <v/>
      </c>
      <c r="M175" s="227" t="str">
        <f>IF(('Val-Départ'!G19="Marchandise"),VLOOKUP('Val-Départ'!G19,'Val-Départ'!G19:U29,8,FALSE),"")</f>
        <v/>
      </c>
      <c r="N175" s="220" t="s">
        <v>320</v>
      </c>
      <c r="O175" s="4" t="s">
        <v>489</v>
      </c>
      <c r="P175" s="182"/>
      <c r="Q175" s="378" t="str">
        <f>IF(('Val-Départ'!G19="note de crédit"),VLOOKUP('Val-Départ'!G19,'Val-Départ'!G19:AA19,12,FALSE ),"")</f>
        <v/>
      </c>
      <c r="R175" s="227" t="str">
        <f>IF(('Val-Départ'!G19="Marchandise"),VLOOKUP('Val-Départ'!G19,'Val-Départ'!G19:W29,11,FALSE),"")</f>
        <v/>
      </c>
      <c r="S175" s="220" t="s">
        <v>320</v>
      </c>
      <c r="W175" s="389" t="str">
        <f>IF(OR('Val-Départ'!G19="note de crédit",'Val-Départ'!G19=""),VLOOKUP('Val-Départ'!G19,'Val-Départ'!G19:S30,10,FALSE),"")</f>
        <v/>
      </c>
      <c r="AQ175" s="227" t="str">
        <f>IF(('Val-Départ'!G27="Marchandise"),VLOOKUP('Val-Départ'!G27,'Val-Départ'!G27:U27,11,FALSE),"")</f>
        <v/>
      </c>
    </row>
    <row r="176" spans="1:44" ht="14.1" customHeight="1" thickBot="1">
      <c r="A176" s="225" t="s">
        <v>479</v>
      </c>
      <c r="B176" s="377" t="str">
        <f>IF(OR('Val-Départ'!G42="Marchandise",'Val-Départ'!G42=""),VLOOKUP('Val-Départ'!G42,'Val-Départ'!G42:AC42,8,FALSE),"")</f>
        <v/>
      </c>
      <c r="C176" s="378" t="str">
        <f>IF(('Val-Départ'!G42="note de crédit"),VLOOKUP('Val-Départ'!G42,'Val-Départ'!G42:AA42,8,FALSE ),"")</f>
        <v/>
      </c>
      <c r="D176" s="177"/>
      <c r="E176" s="4"/>
      <c r="F176" s="225" t="s">
        <v>479</v>
      </c>
      <c r="G176" s="377" t="str">
        <f>IF(OR('Val-Départ'!G42="Marchandise",  'Val-Départ'!G42="mobilier", 'Val-Départ'!G42=""),VLOOKUP('Val-Départ'!G42,'Val-Départ'!G42:AA42,18,FALSE),"")</f>
        <v/>
      </c>
      <c r="H176" s="378" t="str">
        <f>IF(('Val-Départ'!G42="note de crédit"),VLOOKUP('Val-Départ'!G42,'Val-Départ'!G42:AA51,16,FALSE ),"")</f>
        <v/>
      </c>
      <c r="I176" s="4"/>
      <c r="J176" s="202"/>
      <c r="L176" s="376" t="str">
        <f>IF(OR('Val-Départ'!G20="note de crédit",'Val-Départ'!G20=""),VLOOKUP('Val-Départ'!G20,'Val-Départ'!G20:W20,14,FALSE),"")</f>
        <v/>
      </c>
      <c r="M176" s="227" t="str">
        <f>IF(('Val-Départ'!G20="Marchandise"),VLOOKUP('Val-Départ'!G20,'Val-Départ'!G20:U30,8,FALSE),"")</f>
        <v/>
      </c>
      <c r="N176" s="220" t="s">
        <v>321</v>
      </c>
      <c r="O176" s="4" t="s">
        <v>489</v>
      </c>
      <c r="P176" s="182"/>
      <c r="Q176" s="378" t="str">
        <f>IF(('Val-Départ'!G20="note de crédit"),VLOOKUP('Val-Départ'!G20,'Val-Départ'!G20:AA20,12,FALSE ),"")</f>
        <v/>
      </c>
      <c r="R176" s="227" t="str">
        <f>IF(('Val-Départ'!G20="Marchandise"),VLOOKUP('Val-Départ'!G20,'Val-Départ'!G20:W30,11,FALSE),"")</f>
        <v/>
      </c>
      <c r="S176" s="220" t="s">
        <v>321</v>
      </c>
      <c r="W176" s="389" t="str">
        <f>IF(OR('Val-Départ'!G20="note de crédit",'Val-Départ'!G20=""),VLOOKUP('Val-Départ'!G20,'Val-Départ'!G20:S31,10,FALSE),"")</f>
        <v/>
      </c>
      <c r="AQ176" s="227" t="str">
        <f>IF(('Val-Départ'!G28="Marchandise"),VLOOKUP('Val-Départ'!G28,'Val-Départ'!G28:U28,11,FALSE),"")</f>
        <v/>
      </c>
    </row>
    <row r="177" spans="1:43" ht="14.1" customHeight="1" thickBot="1">
      <c r="A177" s="220" t="s">
        <v>480</v>
      </c>
      <c r="B177" s="377" t="str">
        <f>IF(OR('Val-Départ'!G43="Marchandise",'Val-Départ'!G43=""),VLOOKUP('Val-Départ'!G43,'Val-Départ'!G43:AC43,8,FALSE),"")</f>
        <v/>
      </c>
      <c r="C177" s="378" t="str">
        <f>IF(('Val-Départ'!G43="note de crédit"),VLOOKUP('Val-Départ'!G43,'Val-Départ'!G43:AA43,8,FALSE ),"")</f>
        <v/>
      </c>
      <c r="D177" s="177"/>
      <c r="E177" s="4"/>
      <c r="F177" s="220" t="s">
        <v>480</v>
      </c>
      <c r="G177" s="377" t="str">
        <f>IF(OR('Val-Départ'!G43="Marchandise",  'Val-Départ'!G43="mobilier", 'Val-Départ'!G43=""),VLOOKUP('Val-Départ'!G43,'Val-Départ'!G43:AA43,18,FALSE),"")</f>
        <v/>
      </c>
      <c r="H177" s="378" t="str">
        <f>IF(('Val-Départ'!G43="note de crédit"),VLOOKUP('Val-Départ'!G43,'Val-Départ'!G43:AA52,16,FALSE ),"")</f>
        <v/>
      </c>
      <c r="I177" s="4"/>
      <c r="J177" s="202"/>
      <c r="L177" s="376" t="str">
        <f>IF(OR('Val-Départ'!G21="note de crédit",'Val-Départ'!G21=""),VLOOKUP('Val-Départ'!G21,'Val-Départ'!G21:W21,14,FALSE),"")</f>
        <v/>
      </c>
      <c r="M177" s="227" t="str">
        <f>IF(('Val-Départ'!G21="Marchandise"),VLOOKUP('Val-Départ'!G21,'Val-Départ'!G21:U31,8,FALSE),"")</f>
        <v/>
      </c>
      <c r="N177" s="220" t="s">
        <v>322</v>
      </c>
      <c r="O177" s="4" t="s">
        <v>486</v>
      </c>
      <c r="P177" s="182"/>
      <c r="Q177" s="378" t="str">
        <f>IF(('Val-Départ'!G21="note de crédit"),VLOOKUP('Val-Départ'!G21,'Val-Départ'!G21:AA21,12,FALSE ),"")</f>
        <v/>
      </c>
      <c r="R177" s="227" t="str">
        <f>IF(('Val-Départ'!G21="Marchandise"),VLOOKUP('Val-Départ'!G21,'Val-Départ'!G21:W31,11,FALSE),"")</f>
        <v/>
      </c>
      <c r="S177" s="220" t="s">
        <v>322</v>
      </c>
      <c r="W177" s="389" t="str">
        <f>IF(OR('Val-Départ'!G21="note de crédit",'Val-Départ'!G21=""),VLOOKUP('Val-Départ'!G21,'Val-Départ'!G21:S32,10,FALSE),"")</f>
        <v/>
      </c>
      <c r="AQ177" s="227" t="str">
        <f>IF(('Val-Départ'!G29="Marchandise"),VLOOKUP('Val-Départ'!G29,'Val-Départ'!G29:T29,11,FALSE),"")</f>
        <v/>
      </c>
    </row>
    <row r="178" spans="1:43" ht="14.1" customHeight="1" thickBot="1">
      <c r="A178" s="225" t="s">
        <v>89</v>
      </c>
      <c r="B178" s="377" t="str">
        <f>IF(OR('Val-Départ'!G44="Marchandise",'Val-Départ'!G44=""),VLOOKUP('Val-Départ'!G44,'Val-Départ'!G44:AC44,8,FALSE),"")</f>
        <v/>
      </c>
      <c r="C178" s="378" t="str">
        <f>IF(('Val-Départ'!G44="note de crédit"),VLOOKUP('Val-Départ'!G44,'Val-Départ'!G44:AA44,8,FALSE ),"")</f>
        <v/>
      </c>
      <c r="D178" s="322"/>
      <c r="E178" s="4"/>
      <c r="F178" s="225" t="s">
        <v>89</v>
      </c>
      <c r="G178" s="377" t="str">
        <f>IF(OR('Val-Départ'!G44="Marchandise",  'Val-Départ'!G44="mobilier", 'Val-Départ'!G44=""),VLOOKUP('Val-Départ'!G44,'Val-Départ'!G44:AA44,18,FALSE),"")</f>
        <v/>
      </c>
      <c r="H178" s="378" t="str">
        <f>IF(('Val-Départ'!G44="note de crédit"),VLOOKUP('Val-Départ'!G44,'Val-Départ'!G44:AA53,16,FALSE ),"")</f>
        <v/>
      </c>
      <c r="I178" s="4"/>
      <c r="J178" s="202"/>
      <c r="L178" s="376" t="str">
        <f>IF(OR('Val-Départ'!G22="note de crédit",'Val-Départ'!G22=""),VLOOKUP('Val-Départ'!G22,'Val-Départ'!G22:W22,14,FALSE),"")</f>
        <v/>
      </c>
      <c r="M178" s="227" t="str">
        <f>IF(('Val-Départ'!G22="Marchandise"),VLOOKUP('Val-Départ'!G22,'Val-Départ'!G22:U32,8,FALSE),"")</f>
        <v/>
      </c>
      <c r="N178" s="220" t="s">
        <v>366</v>
      </c>
      <c r="O178" s="4" t="s">
        <v>489</v>
      </c>
      <c r="P178" s="182"/>
      <c r="Q178" s="378" t="str">
        <f>IF(('Val-Départ'!G22="note de crédit"),VLOOKUP('Val-Départ'!G22,'Val-Départ'!G22:AA22,12,FALSE ),"")</f>
        <v/>
      </c>
      <c r="R178" s="227" t="str">
        <f>IF(('Val-Départ'!G22="Marchandise"),VLOOKUP('Val-Départ'!G22,'Val-Départ'!G22:W32,11,FALSE),"")</f>
        <v/>
      </c>
      <c r="S178" s="220" t="s">
        <v>366</v>
      </c>
      <c r="W178" s="389" t="str">
        <f>IF(OR('Val-Départ'!G22="note de crédit",'Val-Départ'!G22=""),VLOOKUP('Val-Départ'!G22,'Val-Départ'!G22:S33,10,FALSE),"")</f>
        <v/>
      </c>
      <c r="AQ178" s="227" t="str">
        <f>IF(('Val-Départ'!G30="Marchandise"),VLOOKUP('Val-Départ'!G30,'Val-Départ'!G30:T30,11,FALSE),"")</f>
        <v/>
      </c>
    </row>
    <row r="179" spans="1:43" ht="14.1" customHeight="1" thickBot="1">
      <c r="A179" s="224"/>
      <c r="B179" s="227">
        <f>SUM(B169:B178)</f>
        <v>1395.67</v>
      </c>
      <c r="C179" s="223">
        <f>SUM(C169:C178)</f>
        <v>0</v>
      </c>
      <c r="D179" s="177"/>
      <c r="E179" s="4"/>
      <c r="F179" s="220"/>
      <c r="G179" s="227">
        <f>SUM(G169:G178)</f>
        <v>449.26350000000002</v>
      </c>
      <c r="H179" s="964">
        <f>SUM(H169:H178)</f>
        <v>0</v>
      </c>
      <c r="I179" s="4"/>
      <c r="J179" s="202"/>
      <c r="L179" s="376" t="str">
        <f>IF(OR('Val-Départ'!G23="note de crédit",'Val-Départ'!G23=""),VLOOKUP('Val-Départ'!G23,'Val-Départ'!G23:W23,14,FALSE),"")</f>
        <v/>
      </c>
      <c r="M179" s="227" t="str">
        <f>IF(('Val-Départ'!G23="Marchandise"),VLOOKUP('Val-Départ'!G23,'Val-Départ'!G23:U33,8,FALSE),"")</f>
        <v/>
      </c>
      <c r="N179" s="220" t="s">
        <v>323</v>
      </c>
      <c r="O179" s="4" t="s">
        <v>489</v>
      </c>
      <c r="P179" s="182"/>
      <c r="Q179" s="378" t="str">
        <f>IF(('Val-Départ'!G23="note de crédit"),VLOOKUP('Val-Départ'!G23,'Val-Départ'!G23:AA23,12,FALSE ),"")</f>
        <v/>
      </c>
      <c r="R179" s="227" t="str">
        <f>IF(('Val-Départ'!G23="Marchandise"),VLOOKUP('Val-Départ'!G23,'Val-Départ'!G23:W33,11,FALSE),"")</f>
        <v/>
      </c>
      <c r="S179" s="220" t="s">
        <v>323</v>
      </c>
      <c r="W179" s="389" t="str">
        <f>IF(OR('Val-Départ'!G23="note de crédit",'Val-Départ'!G23=""),VLOOKUP('Val-Départ'!G23,'Val-Départ'!G23:S34,10,FALSE),"")</f>
        <v/>
      </c>
      <c r="AA179" s="249"/>
      <c r="AB179" s="249"/>
      <c r="AF179" s="249"/>
      <c r="AG179" s="249"/>
      <c r="AK179" s="249"/>
      <c r="AL179" s="249"/>
      <c r="AP179" s="249"/>
      <c r="AQ179" s="441" t="str">
        <f>IF(('Val-Départ'!K31="Marchandise"),VLOOKUP('Val-Départ'!K31,'Val-Départ'!K31:X31,11,FALSE),"")</f>
        <v/>
      </c>
    </row>
    <row r="180" spans="1:43" ht="14.1" customHeight="1" thickBot="1">
      <c r="A180" s="224"/>
      <c r="B180" s="183"/>
      <c r="C180" s="223"/>
      <c r="D180" s="177"/>
      <c r="E180" s="4"/>
      <c r="F180" s="220"/>
      <c r="G180" s="183"/>
      <c r="H180" s="222"/>
      <c r="I180" s="4"/>
      <c r="J180" s="202"/>
      <c r="L180" s="376"/>
      <c r="M180" s="227" t="str">
        <f>IF(('Val-Départ'!G24="Marchandise"),VLOOKUP('Val-Départ'!G24,'Val-Départ'!G24:U34,8,FALSE),"")</f>
        <v/>
      </c>
      <c r="N180" s="220"/>
      <c r="O180" s="4"/>
      <c r="P180" s="195"/>
      <c r="Q180" s="378" t="str">
        <f>IF(('Val-Départ'!G24="note de crédit"),VLOOKUP('Val-Départ'!G24,'Val-Départ'!G24:AA24,12,FALSE ),"")</f>
        <v/>
      </c>
      <c r="R180" s="227" t="str">
        <f>IF(('Val-Départ'!G24="Marchandise"),VLOOKUP('Val-Départ'!G24,'Val-Départ'!G24:W34,11,FALSE),"")</f>
        <v/>
      </c>
      <c r="S180" s="219"/>
      <c r="V180" s="249"/>
      <c r="W180" s="377"/>
      <c r="AB180" s="166">
        <f>SUM(AB168:AB179)</f>
        <v>0</v>
      </c>
      <c r="AG180" s="166">
        <f>SUM(AG168:AG179)</f>
        <v>0</v>
      </c>
      <c r="AL180" s="166">
        <f>SUM(AL168:AL179)</f>
        <v>0</v>
      </c>
      <c r="AQ180" s="166">
        <f>SUM(AQ168:AQ179)</f>
        <v>0</v>
      </c>
    </row>
    <row r="181" spans="1:43" ht="14.1" customHeight="1" thickTop="1">
      <c r="A181" s="218"/>
      <c r="B181" s="348">
        <f>SUM(B169:B178)</f>
        <v>1395.67</v>
      </c>
      <c r="C181" s="177">
        <f>SUM(C173:C176)</f>
        <v>0</v>
      </c>
      <c r="D181" s="177"/>
      <c r="E181" s="4"/>
      <c r="F181" s="216"/>
      <c r="G181" s="460">
        <f>SUM(G169:G178)</f>
        <v>449.26350000000002</v>
      </c>
      <c r="H181" s="215">
        <f>SUM(H168:H174)</f>
        <v>0</v>
      </c>
      <c r="I181" s="4"/>
      <c r="J181" s="214"/>
      <c r="K181" s="177"/>
      <c r="L181" s="213">
        <f>SUM(L173:L174)</f>
        <v>0</v>
      </c>
      <c r="M181" s="212">
        <f>SUM(M169:M180)</f>
        <v>921.92</v>
      </c>
      <c r="N181" s="211"/>
      <c r="O181" s="4"/>
      <c r="P181" s="210"/>
      <c r="Q181" s="366">
        <f>SUM(Q169:Q180)</f>
        <v>0</v>
      </c>
      <c r="R181" s="461">
        <f>SUM(R169:R180)</f>
        <v>193.60319999999999</v>
      </c>
      <c r="S181" s="209"/>
      <c r="W181" s="166">
        <f>SUM(W169:W180)</f>
        <v>0</v>
      </c>
    </row>
    <row r="182" spans="1:43" ht="14.1" customHeight="1" thickBot="1">
      <c r="A182" s="208" t="s">
        <v>261</v>
      </c>
      <c r="B182" s="347">
        <f>B181-C181</f>
        <v>1395.67</v>
      </c>
      <c r="C182" s="4"/>
      <c r="D182" s="177"/>
      <c r="E182" s="4"/>
      <c r="F182" s="207" t="s">
        <v>261</v>
      </c>
      <c r="G182" s="206">
        <f>G181-H181</f>
        <v>449.26350000000002</v>
      </c>
      <c r="H182" s="4"/>
      <c r="I182" s="4"/>
      <c r="J182" s="202"/>
      <c r="K182" s="178"/>
      <c r="L182" s="4"/>
      <c r="M182" s="205">
        <f>M181-L181</f>
        <v>921.92</v>
      </c>
      <c r="N182" s="177" t="s">
        <v>260</v>
      </c>
      <c r="O182" s="4"/>
      <c r="P182" s="177"/>
      <c r="Q182" s="8"/>
      <c r="R182" s="388">
        <f>R181-Q181</f>
        <v>193.60319999999999</v>
      </c>
      <c r="S182" s="204" t="s">
        <v>260</v>
      </c>
    </row>
    <row r="183" spans="1:43" ht="14.1" customHeight="1">
      <c r="A183" s="203"/>
      <c r="B183" s="4"/>
      <c r="C183" s="4"/>
      <c r="D183" s="182"/>
      <c r="E183" s="4"/>
      <c r="F183" s="4"/>
      <c r="G183" s="4"/>
      <c r="H183" s="4"/>
      <c r="I183" s="4"/>
      <c r="J183" s="202"/>
      <c r="L183" s="4"/>
      <c r="M183" s="4"/>
      <c r="N183" s="4"/>
      <c r="O183" s="4"/>
      <c r="P183" s="4"/>
      <c r="Q183" s="8"/>
      <c r="R183" s="4"/>
      <c r="S183" s="201"/>
    </row>
    <row r="184" spans="1:43" ht="14.1" customHeight="1">
      <c r="A184" s="1737" t="s">
        <v>259</v>
      </c>
      <c r="B184" s="1738"/>
      <c r="C184" s="1738"/>
      <c r="D184" s="200"/>
      <c r="E184" s="4"/>
      <c r="F184" s="4"/>
      <c r="G184" s="4"/>
      <c r="H184" s="4"/>
      <c r="I184" s="4"/>
      <c r="J184" s="4"/>
      <c r="K184" s="727" t="s">
        <v>258</v>
      </c>
      <c r="L184" s="727"/>
      <c r="M184" s="727"/>
      <c r="N184" s="727"/>
      <c r="O184" s="4"/>
      <c r="P184" s="4"/>
      <c r="Q184" s="367"/>
      <c r="R184" s="199"/>
      <c r="S184" s="198"/>
    </row>
    <row r="185" spans="1:43" ht="14.1" customHeight="1" thickBot="1">
      <c r="A185" s="197"/>
      <c r="B185" s="196"/>
      <c r="C185" s="194"/>
      <c r="D185" s="195"/>
      <c r="E185" s="194"/>
      <c r="F185" s="194"/>
      <c r="G185" s="194"/>
      <c r="H185" s="194"/>
      <c r="I185" s="194"/>
      <c r="J185" s="194"/>
      <c r="K185" s="194"/>
      <c r="L185" s="194"/>
      <c r="M185" s="194"/>
      <c r="N185" s="194"/>
      <c r="O185" s="193"/>
      <c r="P185" s="194"/>
      <c r="Q185" s="368"/>
      <c r="R185" s="193"/>
      <c r="S185" s="192"/>
      <c r="Y185" s="4"/>
    </row>
    <row r="186" spans="1:43" ht="14.1" customHeight="1" thickTop="1" thickBot="1">
      <c r="B186" s="177"/>
      <c r="C186" s="4" t="s">
        <v>11</v>
      </c>
      <c r="D186" s="182"/>
      <c r="H186" s="190" t="s">
        <v>310</v>
      </c>
      <c r="O186" s="177"/>
      <c r="P186" s="4"/>
      <c r="Q186" s="314"/>
      <c r="R186" s="177"/>
      <c r="S186" s="177"/>
      <c r="Y186" s="4"/>
    </row>
    <row r="187" spans="1:43" ht="14.1" customHeight="1" thickBot="1">
      <c r="A187" s="189" t="s">
        <v>257</v>
      </c>
      <c r="B187" s="188">
        <v>61210</v>
      </c>
      <c r="C187" s="191" t="s">
        <v>202</v>
      </c>
      <c r="D187" s="186" t="s">
        <v>256</v>
      </c>
      <c r="F187" s="189" t="s">
        <v>257</v>
      </c>
      <c r="G187" s="188" t="s">
        <v>349</v>
      </c>
      <c r="H187" s="437" t="s">
        <v>364</v>
      </c>
      <c r="I187" s="186" t="s">
        <v>256</v>
      </c>
      <c r="K187" s="189" t="s">
        <v>266</v>
      </c>
      <c r="L187" s="188">
        <v>7050</v>
      </c>
      <c r="M187" s="191" t="s">
        <v>308</v>
      </c>
      <c r="N187" s="186" t="s">
        <v>264</v>
      </c>
      <c r="O187" s="4"/>
      <c r="P187" s="189" t="s">
        <v>266</v>
      </c>
      <c r="Q187" s="188" t="s">
        <v>348</v>
      </c>
      <c r="R187" s="190" t="s">
        <v>13</v>
      </c>
      <c r="S187" s="186" t="s">
        <v>264</v>
      </c>
      <c r="T187" s="4"/>
      <c r="U187" s="4"/>
      <c r="V187" s="4"/>
      <c r="W187" s="4"/>
      <c r="X187" s="4"/>
      <c r="Y187" s="4"/>
    </row>
    <row r="188" spans="1:43" ht="14.1" customHeight="1" thickBot="1">
      <c r="A188">
        <v>35</v>
      </c>
      <c r="B188" s="185">
        <f>IF(ISNA(VLOOKUP($C$187,'Val-Départ'!G35:AA35,8,FALSE)),,VLOOKUP($C$187,'Val-Départ'!G35:AA35,8,FALSE))</f>
        <v>0</v>
      </c>
      <c r="C188" s="4"/>
      <c r="D188" s="182"/>
      <c r="G188" s="378" t="str">
        <f>IF(('Val-Départ'!G35="note de crédit"),VLOOKUP('Val-Départ'!G35,'Val-Départ'!G35:AA35,19,FALSE ),"")</f>
        <v/>
      </c>
      <c r="H188" s="378"/>
      <c r="I188" s="182"/>
      <c r="L188" s="185"/>
      <c r="M188" s="185">
        <f>IF(ISNA(VLOOKUP($M$187,'Val-Départ'!G13:P26,3,FALSE)),,VLOOKUP($M$187,'Val-Départ'!G13:P26,3,FALSE))</f>
        <v>0</v>
      </c>
      <c r="N188" s="182"/>
      <c r="O188" s="4"/>
      <c r="P188" s="409"/>
      <c r="Q188" s="410" t="s">
        <v>365</v>
      </c>
      <c r="R188" s="411"/>
      <c r="S188" s="412"/>
      <c r="T188" s="4"/>
      <c r="U188" s="4"/>
      <c r="V188" s="4"/>
      <c r="W188" s="4"/>
      <c r="X188" s="4"/>
      <c r="Y188" s="4"/>
    </row>
    <row r="189" spans="1:43" ht="14.1" customHeight="1">
      <c r="A189">
        <v>36</v>
      </c>
      <c r="B189" s="185">
        <f>IF(ISNA(VLOOKUP($C$187,'Val-Départ'!G36:AA36,8,FALSE)),,VLOOKUP($C$187,'Val-Départ'!G36:AA36,8,FALSE))</f>
        <v>0</v>
      </c>
      <c r="C189" s="4"/>
      <c r="D189" s="182"/>
      <c r="G189" s="378" t="str">
        <f>IF(('Val-Départ'!G36="note de crédit"),VLOOKUP('Val-Départ'!G36,'Val-Départ'!G36:AA36,19,FALSE ),"")</f>
        <v/>
      </c>
      <c r="H189" s="378"/>
      <c r="I189" s="182"/>
      <c r="L189" s="177"/>
      <c r="M189" s="185">
        <f>IF(ISNA(VLOOKUP($M$187,'Val-Départ'!G14:P27,3,FALSE)),,VLOOKUP($M$187,'Val-Départ'!G14:P27,3,FALSE))</f>
        <v>0</v>
      </c>
      <c r="N189" s="182"/>
      <c r="O189" s="4"/>
      <c r="P189" s="4"/>
      <c r="R189" s="185">
        <f>IF(ISNA(VLOOKUP($R$187,'Val-Départ'!$G$13:$AA$26,12,FALSE)),,VLOOKUP($R$187,'Val-Départ'!$G$13:$AA$26,12,FALSE))</f>
        <v>0</v>
      </c>
      <c r="S189" s="182"/>
      <c r="T189" s="4"/>
      <c r="U189" s="4"/>
      <c r="V189" s="4"/>
      <c r="W189" s="4"/>
      <c r="X189" s="4"/>
      <c r="Y189" s="4"/>
    </row>
    <row r="190" spans="1:43" ht="14.1" customHeight="1">
      <c r="A190" s="737">
        <v>37</v>
      </c>
      <c r="B190" s="185">
        <f>IF(ISNA(VLOOKUP($C$187,'Val-Départ'!G37:AA37,8,FALSE)),,VLOOKUP($C$187,'Val-Départ'!G37:AA37,8,FALSE))</f>
        <v>0</v>
      </c>
      <c r="C190" s="4"/>
      <c r="D190" s="182"/>
      <c r="G190" s="378" t="str">
        <f>IF(('Val-Départ'!G37="note de crédit"),VLOOKUP('Val-Départ'!G37,'Val-Départ'!G37:AA37,19,FALSE ),"")</f>
        <v/>
      </c>
      <c r="H190" s="378"/>
      <c r="L190" s="177"/>
      <c r="M190" s="185">
        <f>IF(ISNA(VLOOKUP($M$187,'Val-Départ'!G15:P28,3,FALSE)),,VLOOKUP($M$187,'Val-Départ'!G15:P28,3,FALSE))</f>
        <v>0</v>
      </c>
      <c r="N190" s="182"/>
      <c r="O190" s="4"/>
      <c r="P190" s="4"/>
      <c r="Q190" s="8"/>
      <c r="R190" s="4"/>
      <c r="S190" s="182"/>
      <c r="T190" s="4"/>
      <c r="U190" s="4"/>
      <c r="V190" s="4"/>
      <c r="W190" s="4"/>
      <c r="X190" s="4"/>
      <c r="Y190" s="4"/>
    </row>
    <row r="191" spans="1:43" ht="14.1" customHeight="1">
      <c r="A191" s="737">
        <v>38</v>
      </c>
      <c r="B191" s="185">
        <f>IF(ISNA(VLOOKUP($C$187,'Val-Départ'!G38:AA38,8,FALSE)),,VLOOKUP($C$187,'Val-Départ'!G38:AA38,8,FALSE))</f>
        <v>0</v>
      </c>
      <c r="C191" s="4"/>
      <c r="D191" s="182"/>
      <c r="G191" s="378" t="str">
        <f>IF(('Val-Départ'!G38="note de crédit"),VLOOKUP('Val-Départ'!G38,'Val-Départ'!G38:AA38,19,FALSE ),"")</f>
        <v/>
      </c>
      <c r="H191" s="378"/>
      <c r="L191" s="177"/>
      <c r="M191" s="185">
        <f>IF(ISNA(VLOOKUP($M$187,'Val-Départ'!G16:P29,3,FALSE)),,VLOOKUP($M$187,'Val-Départ'!G16:P29,3,FALSE))</f>
        <v>0</v>
      </c>
      <c r="N191" s="182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43" ht="14.1" customHeight="1">
      <c r="A192" s="737">
        <v>39</v>
      </c>
      <c r="B192" s="185">
        <f>IF(ISNA(VLOOKUP($C$187,'Val-Départ'!G39:AA39,8,FALSE)),,VLOOKUP($C$187,'Val-Départ'!G39:AA39,8,FALSE))</f>
        <v>0</v>
      </c>
      <c r="C192" s="4"/>
      <c r="D192" s="182"/>
      <c r="G192" s="378" t="str">
        <f>IF(('Val-Départ'!G39="note de crédit"),VLOOKUP('Val-Départ'!G39,'Val-Départ'!G39:AA39,19,FALSE ),"")</f>
        <v/>
      </c>
      <c r="H192" s="378"/>
      <c r="L192" s="177"/>
      <c r="M192" s="185">
        <f>IF(ISNA(VLOOKUP($M$187,'Val-Départ'!G17:P30,3,FALSE)),,VLOOKUP($M$187,'Val-Départ'!G17:P30,3,FALSE))</f>
        <v>0</v>
      </c>
      <c r="N192" s="182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32" ht="14.1" customHeight="1">
      <c r="A193" s="737">
        <v>40</v>
      </c>
      <c r="B193" s="185">
        <f>IF(ISNA(VLOOKUP($C$187,'Val-Départ'!G40:AA40,8,FALSE)),,VLOOKUP($C$187,'Val-Départ'!G40:AA40,8,FALSE))</f>
        <v>0</v>
      </c>
      <c r="C193" s="4"/>
      <c r="D193" s="182"/>
      <c r="F193" s="437" t="s">
        <v>328</v>
      </c>
      <c r="G193" s="378">
        <f>IF(('Val-Départ'!G40="note de crédit"),VLOOKUP('Val-Départ'!G40,'Val-Départ'!G40:AA40,19,FALSE ),"")</f>
        <v>0</v>
      </c>
      <c r="H193" s="378"/>
      <c r="I193" s="437" t="s">
        <v>328</v>
      </c>
      <c r="L193" s="177"/>
      <c r="M193" s="185">
        <f>IF(ISNA(VLOOKUP($M$187,'Val-Départ'!G18:P31,3,FALSE)),,VLOOKUP($M$187,'Val-Départ'!G18:P31,3,FALSE))</f>
        <v>0</v>
      </c>
      <c r="N193" s="182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32" ht="14.1" customHeight="1">
      <c r="A194" s="737">
        <v>41</v>
      </c>
      <c r="B194" s="185">
        <f>IF(ISNA(VLOOKUP($C$187,'Val-Départ'!G41:AA41,8,FALSE)),,VLOOKUP($C$187,'Val-Départ'!G41:AA41,8,FALSE))</f>
        <v>0</v>
      </c>
      <c r="C194" s="4"/>
      <c r="D194" s="182"/>
      <c r="G194" s="378" t="str">
        <f>IF(('Val-Départ'!G41="note de crédit"),VLOOKUP('Val-Départ'!G41,'Val-Départ'!G41:AA41,19,FALSE ),"")</f>
        <v/>
      </c>
      <c r="H194" s="378"/>
      <c r="L194" s="177"/>
      <c r="M194" s="185">
        <f>IF(ISNA(VLOOKUP($M$187,'Val-Départ'!G19:P32,3,FALSE)),,VLOOKUP($M$187,'Val-Départ'!G19:P32,3,FALSE))</f>
        <v>0</v>
      </c>
      <c r="N194" s="182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32" ht="14.1" customHeight="1">
      <c r="A195" s="737">
        <v>42</v>
      </c>
      <c r="B195" s="185">
        <f>IF(ISNA(VLOOKUP($C$187,'Val-Départ'!G42:AA42,8,FALSE)),,VLOOKUP($C$187,'Val-Départ'!G42:AA42,8,FALSE))</f>
        <v>0</v>
      </c>
      <c r="C195" s="4"/>
      <c r="D195" s="182"/>
      <c r="G195" s="378" t="str">
        <f>IF(('Val-Départ'!G42="note de crédit"),VLOOKUP('Val-Départ'!G42,'Val-Départ'!G42:AA42,19,FALSE ),"")</f>
        <v/>
      </c>
      <c r="H195" s="378"/>
      <c r="L195" s="177"/>
      <c r="M195" s="185">
        <f>IF(ISNA(VLOOKUP($M$187,'Val-Départ'!G20:P33,3,FALSE)),,VLOOKUP($M$187,'Val-Départ'!G20:P33,3,FALSE))</f>
        <v>0</v>
      </c>
      <c r="N195" s="182"/>
      <c r="O195" s="4"/>
      <c r="T195" s="4"/>
      <c r="U195" s="4"/>
      <c r="V195" s="4"/>
      <c r="W195" s="4"/>
      <c r="X195" s="4"/>
      <c r="Y195" s="4"/>
    </row>
    <row r="196" spans="1:32" ht="14.1" customHeight="1">
      <c r="A196" s="737">
        <v>43</v>
      </c>
      <c r="B196" s="185">
        <f>IF(ISNA(VLOOKUP($C$187,'Val-Départ'!G43:AA43,8,FALSE)),,VLOOKUP($C$187,'Val-Départ'!G43:AA43,8,FALSE))</f>
        <v>0</v>
      </c>
      <c r="C196" s="4"/>
      <c r="D196" s="182"/>
      <c r="G196" s="378" t="str">
        <f>IF(('Val-Départ'!G43="note de crédit"),VLOOKUP('Val-Départ'!G43,'Val-Départ'!G43:AA43,19,FALSE ),"")</f>
        <v/>
      </c>
      <c r="H196" s="378"/>
      <c r="L196" s="177"/>
      <c r="M196" s="185">
        <f>IF(ISNA(VLOOKUP($M$187,'Val-Départ'!G21:P34,3,FALSE)),,VLOOKUP($M$187,'Val-Départ'!G21:P34,3,FALSE))</f>
        <v>0</v>
      </c>
      <c r="N196" s="182"/>
      <c r="O196" s="4"/>
      <c r="T196" s="4"/>
      <c r="U196" s="4"/>
      <c r="V196" s="4"/>
      <c r="W196" s="4"/>
      <c r="X196" s="4"/>
      <c r="Y196" s="4"/>
      <c r="Z196">
        <v>59</v>
      </c>
      <c r="AA196" s="489">
        <v>4110</v>
      </c>
      <c r="AB196" t="s">
        <v>387</v>
      </c>
      <c r="AD196" s="4"/>
      <c r="AE196" s="4"/>
      <c r="AF196" s="4"/>
    </row>
    <row r="197" spans="1:32" ht="14.1" customHeight="1">
      <c r="A197" s="737"/>
      <c r="B197" s="177"/>
      <c r="C197" s="4"/>
      <c r="D197" s="182"/>
      <c r="G197" s="378" t="str">
        <f>IF(('Val-Départ'!G44="note de crédit"),VLOOKUP('Val-Départ'!G44,'Val-Départ'!G44:AA44,19,FALSE ),"")</f>
        <v/>
      </c>
      <c r="H197" s="378"/>
      <c r="L197" s="177"/>
      <c r="M197" s="185">
        <f>IF(ISNA(VLOOKUP($M$187,'Val-Départ'!G22:P35,3,FALSE)),,VLOOKUP($M$187,'Val-Départ'!G22:P35,3,FALSE))</f>
        <v>0</v>
      </c>
      <c r="N197" s="182"/>
      <c r="O197" s="177"/>
      <c r="Q197" s="489"/>
      <c r="T197" s="4"/>
      <c r="U197" s="4"/>
      <c r="V197" s="4"/>
      <c r="W197" s="4"/>
      <c r="X197" s="4"/>
      <c r="Y197" s="4"/>
      <c r="AA197" s="489">
        <v>411020</v>
      </c>
      <c r="AB197" t="s">
        <v>360</v>
      </c>
      <c r="AD197" s="4"/>
      <c r="AE197" s="4"/>
      <c r="AF197" s="4"/>
    </row>
    <row r="198" spans="1:32" ht="14.1" customHeight="1">
      <c r="A198" s="737"/>
      <c r="B198" s="177"/>
      <c r="C198" s="4"/>
      <c r="D198" s="182"/>
      <c r="G198" s="459">
        <f>SUM(G188:G197)</f>
        <v>0</v>
      </c>
      <c r="H198" s="438"/>
      <c r="L198" s="177"/>
      <c r="M198" s="184"/>
      <c r="N198" s="182"/>
      <c r="O198" s="177"/>
      <c r="Q198" s="489"/>
      <c r="T198" s="4"/>
      <c r="U198" s="4"/>
      <c r="V198" s="4"/>
      <c r="W198" s="4"/>
      <c r="X198" s="4"/>
      <c r="Y198" s="4"/>
      <c r="AA198" s="489">
        <v>411230</v>
      </c>
      <c r="AB198" t="s">
        <v>388</v>
      </c>
      <c r="AD198" s="4"/>
      <c r="AE198" s="4"/>
      <c r="AF198" s="4"/>
    </row>
    <row r="199" spans="1:32" ht="14.1" customHeight="1" thickBot="1">
      <c r="B199" s="4" t="s">
        <v>11</v>
      </c>
      <c r="C199" s="737" t="s">
        <v>468</v>
      </c>
      <c r="D199" s="182"/>
      <c r="L199" s="177"/>
      <c r="M199" s="4"/>
      <c r="N199" s="182"/>
      <c r="O199" s="177"/>
      <c r="Q199" s="489"/>
      <c r="T199" s="4"/>
      <c r="U199" s="4"/>
      <c r="V199" s="4"/>
      <c r="W199" s="4"/>
      <c r="X199" s="4"/>
      <c r="Y199" s="4"/>
      <c r="Z199" s="4"/>
      <c r="AA199" s="490">
        <v>411040</v>
      </c>
      <c r="AB199" s="389" t="s">
        <v>389</v>
      </c>
      <c r="AC199" s="4"/>
      <c r="AD199" s="4"/>
      <c r="AE199" s="4"/>
      <c r="AF199" s="4"/>
    </row>
    <row r="200" spans="1:32" ht="14.1" customHeight="1" thickTop="1" thickBot="1">
      <c r="A200" s="189" t="s">
        <v>257</v>
      </c>
      <c r="B200" s="188">
        <v>611</v>
      </c>
      <c r="C200" s="190" t="s">
        <v>388</v>
      </c>
      <c r="D200" s="186" t="s">
        <v>256</v>
      </c>
      <c r="F200" s="404" t="s">
        <v>257</v>
      </c>
      <c r="G200" s="402" t="s">
        <v>347</v>
      </c>
      <c r="H200" s="405" t="s">
        <v>309</v>
      </c>
      <c r="I200" s="403" t="s">
        <v>256</v>
      </c>
      <c r="K200" s="189" t="s">
        <v>266</v>
      </c>
      <c r="L200" s="188">
        <v>7001</v>
      </c>
      <c r="M200" s="187" t="s">
        <v>332</v>
      </c>
      <c r="N200" s="186" t="s">
        <v>264</v>
      </c>
      <c r="O200" s="177"/>
      <c r="P200" s="4"/>
      <c r="Q200" s="490"/>
      <c r="R200" s="389"/>
      <c r="S200" s="4"/>
      <c r="T200" s="4"/>
      <c r="U200" s="4"/>
      <c r="V200" s="4"/>
      <c r="W200" s="4"/>
      <c r="X200" s="4"/>
      <c r="Y200" s="4"/>
      <c r="Z200" s="4"/>
      <c r="AA200" s="491"/>
      <c r="AB200" s="177"/>
      <c r="AC200" s="177"/>
      <c r="AD200" s="4"/>
      <c r="AE200" s="4"/>
      <c r="AF200" s="4"/>
    </row>
    <row r="201" spans="1:32" ht="14.1" customHeight="1" thickBot="1">
      <c r="A201" s="737">
        <v>35</v>
      </c>
      <c r="B201" s="185">
        <f>IF(ISNA(VLOOKUP($C$199,'Val-Départ'!G35:AA35,11,FALSE)),,VLOOKUP($C$199,'Val-Départ'!G35:AA35,11,FALSE))</f>
        <v>0</v>
      </c>
      <c r="C201" s="4"/>
      <c r="D201" s="182"/>
      <c r="F201" s="409"/>
      <c r="G201" s="410"/>
      <c r="H201" s="411" t="s">
        <v>388</v>
      </c>
      <c r="I201" s="412"/>
      <c r="L201" s="185"/>
      <c r="M201" s="185">
        <f>IF(ISNA(VLOOKUP($M$200,'Val-Départ'!G13:W26,8,FALSE)),,VLOOKUP($M$200,'Val-Départ'!G13:W26,8,FALSE))</f>
        <v>0</v>
      </c>
      <c r="N201" s="182"/>
      <c r="O201" s="177"/>
      <c r="P201" s="4"/>
      <c r="Q201" s="491"/>
      <c r="R201" s="177"/>
      <c r="S201" s="177"/>
      <c r="T201" s="4"/>
      <c r="U201" s="4"/>
      <c r="V201" s="4"/>
      <c r="W201" s="4"/>
      <c r="X201" s="4"/>
      <c r="Y201" s="4"/>
      <c r="Z201" s="4">
        <v>69</v>
      </c>
      <c r="AA201" s="491">
        <v>4114</v>
      </c>
      <c r="AB201" s="177" t="s">
        <v>390</v>
      </c>
      <c r="AC201" s="177"/>
      <c r="AD201" s="4"/>
      <c r="AE201" s="4"/>
      <c r="AF201" s="4"/>
    </row>
    <row r="202" spans="1:32" ht="14.1" customHeight="1">
      <c r="A202" s="737">
        <v>36</v>
      </c>
      <c r="B202" s="185">
        <f>IF(ISNA(VLOOKUP($C$199,'Val-Départ'!G36:AA36,11,FALSE)),,VLOOKUP($C$199,'Val-Départ'!G36:AA36,11,FALSE))</f>
        <v>0</v>
      </c>
      <c r="C202" s="4"/>
      <c r="D202" s="182"/>
      <c r="F202" s="4"/>
      <c r="G202" s="1503">
        <f>IF(ISNA(VLOOKUP($H$201,'Val-Départ'!G35:AC45,23,FALSE)),,VLOOKUP($H$201,'Val-Départ'!G35:AC45,23,FALSE))</f>
        <v>0</v>
      </c>
      <c r="I202" s="182"/>
      <c r="L202" s="185"/>
      <c r="M202" s="185">
        <f>IF(ISNA(VLOOKUP($M$200,'Val-Départ'!G14:W27,8,FALSE)),,VLOOKUP($M$200,'Val-Départ'!G14:W27,8,FALSE))</f>
        <v>0</v>
      </c>
      <c r="N202" s="182"/>
      <c r="O202" s="177"/>
      <c r="P202" s="4"/>
      <c r="Q202" s="491"/>
      <c r="R202" s="177"/>
      <c r="S202" s="177"/>
      <c r="T202" s="4"/>
      <c r="U202" s="4"/>
      <c r="V202" s="4"/>
      <c r="W202" s="4"/>
      <c r="X202" s="4"/>
      <c r="Y202" s="4"/>
      <c r="Z202" s="4"/>
      <c r="AA202" s="491"/>
      <c r="AB202" s="177"/>
      <c r="AC202" s="177"/>
      <c r="AD202" s="4"/>
      <c r="AE202" s="4"/>
      <c r="AF202" s="4"/>
    </row>
    <row r="203" spans="1:32" ht="14.1" customHeight="1">
      <c r="A203" s="737">
        <v>37</v>
      </c>
      <c r="B203" s="185">
        <f>IF(ISNA(VLOOKUP($C$199,'Val-Départ'!G37:AA37,11,FALSE)),,VLOOKUP($C$199,'Val-Départ'!G37:AA37,11,FALSE))</f>
        <v>0</v>
      </c>
      <c r="C203" s="4"/>
      <c r="D203" s="182"/>
      <c r="F203" s="4"/>
      <c r="G203" s="1503">
        <f>IF(ISNA(VLOOKUP($H$201,'Val-Départ'!G36:AC46,23,FALSE)),,VLOOKUP($H$201,'Val-Départ'!G36:AC46,23,FALSE))</f>
        <v>0</v>
      </c>
      <c r="H203" s="4"/>
      <c r="I203" s="182"/>
      <c r="L203" s="184"/>
      <c r="M203" s="185">
        <f>IF(ISNA(VLOOKUP($M$200,'Val-Départ'!G15:W28,8,FALSE)),,VLOOKUP($M$200,'Val-Départ'!G15:W28,8,FALSE))</f>
        <v>0</v>
      </c>
      <c r="N203" s="182"/>
      <c r="O203" s="177"/>
      <c r="P203" s="4"/>
      <c r="Q203" s="491"/>
      <c r="R203" s="177"/>
      <c r="S203" s="177"/>
      <c r="T203" s="4"/>
      <c r="U203" s="4"/>
      <c r="V203" s="4"/>
      <c r="W203" s="4"/>
      <c r="X203" s="4"/>
      <c r="Y203" s="4"/>
      <c r="Z203" s="4"/>
      <c r="AA203" s="491">
        <v>4117</v>
      </c>
      <c r="AB203" s="177" t="s">
        <v>391</v>
      </c>
      <c r="AC203" s="177"/>
      <c r="AD203" s="4"/>
      <c r="AE203" s="4"/>
      <c r="AF203" s="4"/>
    </row>
    <row r="204" spans="1:32" ht="14.1" customHeight="1">
      <c r="A204" s="737">
        <v>38</v>
      </c>
      <c r="B204" s="185">
        <f>IF(ISNA(VLOOKUP($C$199,'Val-Départ'!G38:AA38,11,FALSE)),,VLOOKUP($C$199,'Val-Départ'!G38:AA38,11,FALSE))</f>
        <v>0</v>
      </c>
      <c r="C204" s="4"/>
      <c r="D204" s="182"/>
      <c r="F204" s="4"/>
      <c r="G204" s="1503">
        <f>IF(ISNA(VLOOKUP($H$201,'Val-Départ'!G37:AC47,23,FALSE)),,VLOOKUP($H$201,'Val-Départ'!G37:AC47,23,FALSE))</f>
        <v>0</v>
      </c>
      <c r="H204" s="4"/>
      <c r="I204" s="182"/>
      <c r="L204" s="184"/>
      <c r="M204" s="185">
        <f>IF(ISNA(VLOOKUP($M$200,'Val-Départ'!G16:W29,8,FALSE)),,VLOOKUP($M$200,'Val-Départ'!G16:W29,8,FALSE))</f>
        <v>0</v>
      </c>
      <c r="N204" s="182"/>
      <c r="O204" s="177"/>
      <c r="P204" s="4"/>
      <c r="Q204" s="491"/>
      <c r="R204" s="177"/>
      <c r="S204" s="177"/>
      <c r="T204" s="4"/>
      <c r="U204" s="4"/>
      <c r="V204" s="4"/>
      <c r="W204" s="4"/>
      <c r="X204" s="4"/>
      <c r="Y204" s="4"/>
      <c r="Z204" s="4"/>
      <c r="AA204" s="491"/>
      <c r="AB204" s="177"/>
      <c r="AC204" s="177"/>
      <c r="AD204" s="4"/>
      <c r="AE204" s="4"/>
      <c r="AF204" s="4"/>
    </row>
    <row r="205" spans="1:32" ht="14.1" customHeight="1">
      <c r="A205" s="737">
        <v>39</v>
      </c>
      <c r="B205" s="185">
        <f>IF(ISNA(VLOOKUP($C$199,'Val-Départ'!G39:AA39,11,FALSE)),,VLOOKUP($C$199,'Val-Départ'!G39:AA39,11,FALSE))</f>
        <v>0</v>
      </c>
      <c r="C205" s="4"/>
      <c r="D205" s="182"/>
      <c r="E205" s="4"/>
      <c r="F205" s="4"/>
      <c r="G205" s="1503">
        <f>IF(ISNA(VLOOKUP($H$201,'Val-Départ'!G38:AC48,23,FALSE)),,VLOOKUP($H$201,'Val-Départ'!G38:AC48,23,FALSE))</f>
        <v>0</v>
      </c>
      <c r="H205" s="4"/>
      <c r="I205" s="182"/>
      <c r="L205" s="184"/>
      <c r="M205" s="185">
        <f>IF(ISNA(VLOOKUP($M$200,'Val-Départ'!G17:W30,8,FALSE)),,VLOOKUP($M$200,'Val-Départ'!G17:W30,8,FALSE))</f>
        <v>0</v>
      </c>
      <c r="N205" s="182"/>
      <c r="O205" s="177"/>
      <c r="P205" s="4"/>
      <c r="Q205" s="491"/>
      <c r="R205" s="177"/>
      <c r="S205" s="177"/>
      <c r="T205" s="4"/>
      <c r="U205" s="4"/>
      <c r="V205" s="4"/>
      <c r="W205" s="4"/>
      <c r="X205" s="4"/>
      <c r="Y205" s="4"/>
      <c r="Z205" s="4">
        <v>72</v>
      </c>
      <c r="AA205" s="491">
        <v>4119</v>
      </c>
      <c r="AB205" s="177" t="s">
        <v>392</v>
      </c>
      <c r="AC205" s="177"/>
      <c r="AD205" s="4"/>
      <c r="AE205" s="4"/>
      <c r="AF205" s="4"/>
    </row>
    <row r="206" spans="1:32" ht="14.1" customHeight="1">
      <c r="A206" s="737">
        <v>40</v>
      </c>
      <c r="B206" s="185">
        <f>IF(ISNA(VLOOKUP($C$199,'Val-Départ'!G40:AA40,11,FALSE)),,VLOOKUP($C$199,'Val-Départ'!G40:AA40,11,FALSE))</f>
        <v>0</v>
      </c>
      <c r="C206" s="4"/>
      <c r="D206" s="182"/>
      <c r="E206" s="4"/>
      <c r="F206" s="4"/>
      <c r="G206" s="1503">
        <f>IF(ISNA(VLOOKUP($H$201,'Val-Départ'!G39:AC49,23,FALSE)),,VLOOKUP($H$201,'Val-Départ'!G39:AC49,23,FALSE))</f>
        <v>0</v>
      </c>
      <c r="H206" s="4"/>
      <c r="I206" s="182"/>
      <c r="L206" s="184"/>
      <c r="M206" s="185">
        <f>IF(ISNA(VLOOKUP($M$200,'Val-Départ'!G18:W31,8,FALSE)),,VLOOKUP($M$200,'Val-Départ'!G18:W31,8,FALSE))</f>
        <v>0</v>
      </c>
      <c r="N206" s="182"/>
      <c r="O206" s="177"/>
      <c r="P206" s="4"/>
      <c r="Q206" s="491"/>
      <c r="R206" s="177"/>
      <c r="S206" s="177"/>
      <c r="T206" s="4"/>
      <c r="U206" s="4"/>
      <c r="V206" s="4"/>
      <c r="W206" s="4"/>
      <c r="X206" s="4"/>
      <c r="Z206" s="4"/>
      <c r="AA206" s="491">
        <v>4118</v>
      </c>
      <c r="AB206" s="177" t="s">
        <v>393</v>
      </c>
      <c r="AC206" s="177"/>
      <c r="AD206" s="4"/>
      <c r="AE206" s="4"/>
      <c r="AF206" s="4"/>
    </row>
    <row r="207" spans="1:32" ht="14.1" customHeight="1">
      <c r="A207" s="737">
        <v>41</v>
      </c>
      <c r="B207" s="185">
        <f>IF(ISNA(VLOOKUP($C$199,'Val-Départ'!G41:AA41,11,FALSE)),,VLOOKUP($C$199,'Val-Départ'!G41:AA41,11,FALSE))</f>
        <v>0</v>
      </c>
      <c r="C207" s="4"/>
      <c r="D207" s="182"/>
      <c r="F207" s="4"/>
      <c r="G207" s="1503">
        <f>IF(ISNA(VLOOKUP($H$201,'Val-Départ'!G40:AC50,23,FALSE)),,VLOOKUP($H$201,'Val-Départ'!G40:AC50,23,FALSE))</f>
        <v>0</v>
      </c>
      <c r="H207" s="4"/>
      <c r="I207" s="182"/>
      <c r="L207" s="184"/>
      <c r="M207" s="185">
        <f>IF(ISNA(VLOOKUP($M$200,'Val-Départ'!G19:W32,8,FALSE)),,VLOOKUP($M$200,'Val-Départ'!G19:W32,8,FALSE))</f>
        <v>0</v>
      </c>
      <c r="N207" s="182"/>
      <c r="O207" s="177"/>
      <c r="P207" s="4"/>
      <c r="Q207" s="491"/>
      <c r="R207" s="177"/>
      <c r="S207" s="177"/>
      <c r="T207" s="4"/>
      <c r="U207" s="4"/>
      <c r="V207" s="4"/>
      <c r="W207" s="4"/>
      <c r="X207" s="4"/>
      <c r="Z207" s="4"/>
      <c r="AA207" s="491"/>
      <c r="AB207" s="177"/>
      <c r="AC207" s="177"/>
    </row>
    <row r="208" spans="1:32" ht="14.1" customHeight="1">
      <c r="A208" s="737">
        <v>42</v>
      </c>
      <c r="B208" s="185">
        <f>IF(ISNA(VLOOKUP($C$199,'Val-Départ'!G42:AA42,11,FALSE)),,VLOOKUP($C$199,'Val-Départ'!G42:AA42,11,FALSE))</f>
        <v>0</v>
      </c>
      <c r="C208" s="4"/>
      <c r="D208" s="182"/>
      <c r="F208" s="4"/>
      <c r="G208" s="1503">
        <f>IF(ISNA(VLOOKUP($H$201,'Val-Départ'!G41:AC51,23,FALSE)),,VLOOKUP($H$201,'Val-Départ'!G41:AC51,23,FALSE))</f>
        <v>0</v>
      </c>
      <c r="H208" s="4"/>
      <c r="I208" s="182"/>
      <c r="L208" s="184"/>
      <c r="M208" s="185">
        <f>IF(ISNA(VLOOKUP($M$200,'Val-Départ'!G20:W33,8,FALSE)),,VLOOKUP($M$200,'Val-Départ'!G20:W33,8,FALSE))</f>
        <v>0</v>
      </c>
      <c r="N208" s="182"/>
      <c r="O208" s="177"/>
      <c r="P208" s="4"/>
      <c r="Q208" s="491"/>
      <c r="R208" s="177"/>
      <c r="S208" s="177"/>
      <c r="Z208" s="4"/>
      <c r="AA208" s="295"/>
      <c r="AB208" s="177"/>
      <c r="AC208" s="177"/>
    </row>
    <row r="209" spans="1:44" ht="14.1" customHeight="1">
      <c r="A209" s="737">
        <v>43</v>
      </c>
      <c r="B209" s="185">
        <f>IF(ISNA(VLOOKUP($C$199,'Val-Départ'!G43:AA43,11,FALSE)),,VLOOKUP($C$199,'Val-Départ'!G43:AA43,11,FALSE))</f>
        <v>0</v>
      </c>
      <c r="C209" s="4"/>
      <c r="D209" s="182"/>
      <c r="F209" s="4"/>
      <c r="G209" s="1503">
        <f>IF(ISNA(VLOOKUP($H$201,'Val-Départ'!G42:AC52,23,FALSE)),,VLOOKUP($H$201,'Val-Départ'!G42:AC52,23,FALSE))</f>
        <v>0</v>
      </c>
      <c r="H209" s="4"/>
      <c r="I209" s="182"/>
      <c r="L209" s="184"/>
      <c r="M209" s="185">
        <f>IF(ISNA(VLOOKUP($M$200,'Val-Départ'!G21:W34,8,FALSE)),,VLOOKUP($M$200,'Val-Départ'!G21:W34,8,FALSE))</f>
        <v>0</v>
      </c>
      <c r="N209" s="182"/>
      <c r="O209" s="177"/>
      <c r="P209" s="4"/>
      <c r="Q209" s="295"/>
      <c r="R209" s="177"/>
      <c r="S209" s="177"/>
      <c r="Y209" s="11"/>
      <c r="Z209" s="4">
        <v>54</v>
      </c>
      <c r="AA209" s="491">
        <v>4510</v>
      </c>
      <c r="AB209" s="177" t="s">
        <v>394</v>
      </c>
      <c r="AC209" s="177"/>
    </row>
    <row r="210" spans="1:44" ht="14.1" customHeight="1">
      <c r="A210" s="737"/>
      <c r="B210" s="184"/>
      <c r="C210" s="4"/>
      <c r="D210" s="182"/>
      <c r="F210" s="4"/>
      <c r="G210" s="184"/>
      <c r="H210" s="4"/>
      <c r="I210" s="182"/>
      <c r="L210" s="184"/>
      <c r="M210" s="4"/>
      <c r="N210" s="182"/>
      <c r="O210" s="177"/>
      <c r="P210" s="4"/>
      <c r="Q210" s="491"/>
      <c r="R210" s="177"/>
      <c r="S210" s="177"/>
      <c r="Y210" s="11"/>
      <c r="Z210" s="12"/>
      <c r="AA210" s="493"/>
      <c r="AB210" s="340"/>
      <c r="AC210" s="340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</row>
    <row r="211" spans="1:44" s="11" customFormat="1" ht="14.1" customHeight="1">
      <c r="A211" s="737"/>
      <c r="B211" s="184"/>
      <c r="C211" s="4"/>
      <c r="D211" s="182"/>
      <c r="E211" s="502"/>
      <c r="F211" s="4"/>
      <c r="G211" s="184"/>
      <c r="H211" s="4"/>
      <c r="I211" s="182"/>
      <c r="J211" s="502"/>
      <c r="K211" s="4"/>
      <c r="L211" s="184"/>
      <c r="M211" s="4"/>
      <c r="N211" s="182"/>
      <c r="O211" s="340"/>
      <c r="P211" s="12"/>
      <c r="Q211" s="493"/>
      <c r="R211" s="340"/>
      <c r="S211" s="340"/>
      <c r="Z211" s="232">
        <v>63</v>
      </c>
      <c r="AA211" s="493" t="s">
        <v>376</v>
      </c>
      <c r="AB211" s="340" t="s">
        <v>396</v>
      </c>
      <c r="AC211" s="340"/>
    </row>
    <row r="212" spans="1:44" s="11" customFormat="1" ht="14.1" customHeight="1" thickBot="1">
      <c r="A212"/>
      <c r="B212" s="177"/>
      <c r="C212" s="4" t="s">
        <v>11</v>
      </c>
      <c r="D212" s="182"/>
      <c r="E212" s="12"/>
      <c r="F212"/>
      <c r="G212"/>
      <c r="H212"/>
      <c r="I212"/>
      <c r="J212" s="12"/>
      <c r="K212" s="4"/>
      <c r="L212" s="177"/>
      <c r="M212" s="4"/>
      <c r="N212" s="182"/>
      <c r="O212" s="340"/>
      <c r="P212" s="232"/>
      <c r="Q212" s="493"/>
      <c r="R212" s="340"/>
      <c r="S212" s="340"/>
      <c r="Z212" s="12"/>
      <c r="AA212" s="493"/>
      <c r="AB212" s="340"/>
      <c r="AC212" s="340"/>
    </row>
    <row r="213" spans="1:44" s="11" customFormat="1" ht="14.1" customHeight="1" thickTop="1" thickBot="1">
      <c r="A213" s="189" t="s">
        <v>257</v>
      </c>
      <c r="B213" s="188">
        <v>6140</v>
      </c>
      <c r="C213" s="187" t="s">
        <v>227</v>
      </c>
      <c r="D213" s="186" t="s">
        <v>256</v>
      </c>
      <c r="E213" s="12"/>
      <c r="F213" s="404" t="s">
        <v>257</v>
      </c>
      <c r="G213" s="402" t="s">
        <v>346</v>
      </c>
      <c r="H213" s="405" t="s">
        <v>334</v>
      </c>
      <c r="I213" s="403" t="s">
        <v>256</v>
      </c>
      <c r="J213" s="12"/>
      <c r="K213" s="189" t="s">
        <v>266</v>
      </c>
      <c r="L213" s="188">
        <v>70012</v>
      </c>
      <c r="M213" s="187" t="s">
        <v>312</v>
      </c>
      <c r="N213" s="186" t="s">
        <v>264</v>
      </c>
      <c r="O213" s="340"/>
      <c r="P213" s="12"/>
      <c r="Q213" s="493"/>
      <c r="R213" s="340"/>
      <c r="S213" s="340"/>
      <c r="Z213" s="12">
        <v>86</v>
      </c>
      <c r="AA213" s="493"/>
      <c r="AB213" s="340" t="s">
        <v>395</v>
      </c>
      <c r="AC213" s="340"/>
    </row>
    <row r="214" spans="1:44" s="11" customFormat="1" ht="14.1" customHeight="1" thickBot="1">
      <c r="A214"/>
      <c r="B214" s="185">
        <f>IF(ISNA(VLOOKUP($C$213,'Val-Départ'!G35:AA35,8,FALSE)),,VLOOKUP($C$213,'Val-Départ'!G35:AA35,8,FALSE))</f>
        <v>0</v>
      </c>
      <c r="C214" s="4"/>
      <c r="D214" s="182"/>
      <c r="E214" s="12"/>
      <c r="F214" s="409"/>
      <c r="G214" s="410"/>
      <c r="H214" s="411" t="s">
        <v>332</v>
      </c>
      <c r="I214" s="412"/>
      <c r="J214" s="12"/>
      <c r="K214" s="4"/>
      <c r="L214" s="185"/>
      <c r="M214" s="185">
        <f>IF(ISNA(VLOOKUP($M$213,'Val-Départ'!G13:W23,8,FALSE)),,VLOOKUP($M$213,'Val-Départ'!G13:W23,8,FALSE))</f>
        <v>0</v>
      </c>
      <c r="N214" s="182"/>
      <c r="O214" s="340"/>
      <c r="P214" s="12"/>
      <c r="Q214" s="493"/>
      <c r="R214" s="340"/>
      <c r="S214" s="340"/>
      <c r="Z214" s="12"/>
      <c r="AA214" s="493"/>
      <c r="AB214" s="340"/>
      <c r="AC214" s="340"/>
    </row>
    <row r="215" spans="1:44" s="11" customFormat="1" ht="14.1" customHeight="1">
      <c r="A215" s="737"/>
      <c r="B215" s="185">
        <f>IF(ISNA(VLOOKUP($C$213,'Val-Départ'!G36:AA36,8,FALSE)),,VLOOKUP($C$213,'Val-Départ'!G36:AA36,8,FALSE))</f>
        <v>0</v>
      </c>
      <c r="C215" s="4"/>
      <c r="D215" s="182"/>
      <c r="E215" s="12"/>
      <c r="F215" s="4"/>
      <c r="G215" s="458">
        <f>IF(ISNA(VLOOKUP($H$214,'Val-Départ'!G35:AC45,20,FALSE)),,VLOOKUP($H$214,'Val-Départ'!G35:AC45,20,FALSE))</f>
        <v>0</v>
      </c>
      <c r="H215"/>
      <c r="I215" s="182"/>
      <c r="J215" s="12"/>
      <c r="K215" s="4"/>
      <c r="L215" s="4"/>
      <c r="M215" s="185">
        <f>IF(ISNA(VLOOKUP($M$213,'Val-Départ'!G14:W24,8,FALSE)),,VLOOKUP($M$213,'Val-Départ'!G14:W24,8,FALSE))</f>
        <v>0</v>
      </c>
      <c r="N215" s="4"/>
      <c r="O215" s="340"/>
      <c r="P215" s="12"/>
      <c r="Q215" s="493"/>
      <c r="R215" s="340"/>
      <c r="S215" s="340"/>
      <c r="Z215" s="12">
        <v>88</v>
      </c>
      <c r="AA215" s="493"/>
      <c r="AB215" s="340" t="s">
        <v>397</v>
      </c>
      <c r="AC215" s="340"/>
    </row>
    <row r="216" spans="1:44" s="11" customFormat="1" ht="14.1" customHeight="1">
      <c r="A216" s="737"/>
      <c r="B216" s="185">
        <f>IF(ISNA(VLOOKUP($C$213,'Val-Départ'!G37:AA37,8,FALSE)),,VLOOKUP($C$213,'Val-Départ'!G37:AA37,8,FALSE))</f>
        <v>0</v>
      </c>
      <c r="C216" s="4"/>
      <c r="D216" s="182"/>
      <c r="E216" s="12"/>
      <c r="F216" s="4"/>
      <c r="G216" s="458">
        <f>IF(ISNA(VLOOKUP($H$214,'Val-Départ'!G36:AC46,20,FALSE)),,VLOOKUP($H$214,'Val-Départ'!G36:AC46,20,FALSE))</f>
        <v>0</v>
      </c>
      <c r="H216" s="4"/>
      <c r="I216" s="182"/>
      <c r="J216" s="12"/>
      <c r="K216" s="4"/>
      <c r="L216" s="4"/>
      <c r="M216" s="185">
        <f>IF(ISNA(VLOOKUP($M$213,'Val-Départ'!G15:W25,8,FALSE)),,VLOOKUP($M$213,'Val-Départ'!G15:W25,8,FALSE))</f>
        <v>0</v>
      </c>
      <c r="N216" s="4"/>
      <c r="O216" s="340"/>
      <c r="P216" s="12"/>
      <c r="Q216" s="493"/>
      <c r="R216" s="340"/>
      <c r="S216" s="340"/>
      <c r="Z216" s="12"/>
      <c r="AA216" s="493"/>
      <c r="AB216" s="340"/>
      <c r="AC216" s="340"/>
    </row>
    <row r="217" spans="1:44" s="11" customFormat="1" ht="14.1" customHeight="1">
      <c r="A217" s="737"/>
      <c r="B217" s="185">
        <f>IF(ISNA(VLOOKUP($C$213,'Val-Départ'!G38:AA38,8,FALSE)),,VLOOKUP($C$213,'Val-Départ'!G38:AA38,8,FALSE))</f>
        <v>0</v>
      </c>
      <c r="C217" s="4"/>
      <c r="D217" s="182"/>
      <c r="E217" s="12"/>
      <c r="F217" s="4"/>
      <c r="G217" s="458">
        <f>IF(ISNA(VLOOKUP($H$214,'Val-Départ'!G37:AC47,20,FALSE)),,VLOOKUP($H$214,'Val-Départ'!G37:AC47,20,FALSE))</f>
        <v>0</v>
      </c>
      <c r="H217" s="4"/>
      <c r="I217" s="182"/>
      <c r="J217" s="12"/>
      <c r="K217" s="4"/>
      <c r="L217" s="4"/>
      <c r="M217" s="185">
        <f>IF(ISNA(VLOOKUP($M$213,'Val-Départ'!G16:W26,8,FALSE)),,VLOOKUP($M$213,'Val-Départ'!G16:W26,8,FALSE))</f>
        <v>0</v>
      </c>
      <c r="N217" s="4"/>
      <c r="O217" s="340"/>
      <c r="P217" s="12"/>
      <c r="Q217" s="493"/>
      <c r="R217" s="340"/>
      <c r="S217" s="340"/>
      <c r="Z217" s="12">
        <v>57</v>
      </c>
      <c r="AA217" s="493"/>
      <c r="AB217" s="340" t="s">
        <v>398</v>
      </c>
      <c r="AC217" s="340"/>
    </row>
    <row r="218" spans="1:44" s="11" customFormat="1" ht="14.1" customHeight="1">
      <c r="A218" s="737"/>
      <c r="B218" s="185">
        <f>IF(ISNA(VLOOKUP($C$213,'Val-Départ'!G39:AA39,8,FALSE)),,VLOOKUP($C$213,'Val-Départ'!G39:AA39,8,FALSE))</f>
        <v>0</v>
      </c>
      <c r="C218" s="4"/>
      <c r="D218" s="182"/>
      <c r="E218" s="12"/>
      <c r="F218" s="4"/>
      <c r="G218" s="458">
        <f>IF(ISNA(VLOOKUP($H$214,'Val-Départ'!G38:AC48,20,FALSE)),,VLOOKUP($H$214,'Val-Départ'!G38:AC48,20,FALSE))</f>
        <v>0</v>
      </c>
      <c r="H218" s="4"/>
      <c r="I218" s="182"/>
      <c r="J218" s="12"/>
      <c r="K218" s="4"/>
      <c r="L218" s="4"/>
      <c r="M218" s="185">
        <f>IF(ISNA(VLOOKUP($M$213,'Val-Départ'!G17:W27,8,FALSE)),,VLOOKUP($M$213,'Val-Départ'!G17:W27,8,FALSE))</f>
        <v>0</v>
      </c>
      <c r="N218" s="4"/>
      <c r="O218" s="340"/>
      <c r="P218" s="12"/>
      <c r="Q218" s="493"/>
      <c r="R218" s="340"/>
      <c r="S218" s="340"/>
      <c r="Z218" s="12"/>
      <c r="AA218" s="493"/>
      <c r="AB218" s="340"/>
      <c r="AC218" s="340"/>
    </row>
    <row r="219" spans="1:44" s="11" customFormat="1" ht="14.1" customHeight="1">
      <c r="A219" s="737"/>
      <c r="B219" s="185">
        <f>IF(ISNA(VLOOKUP($C$213,'Val-Départ'!G40:AA40,8,FALSE)),,VLOOKUP($C$213,'Val-Départ'!G40:AA40,8,FALSE))</f>
        <v>0</v>
      </c>
      <c r="C219" s="4"/>
      <c r="D219" s="182"/>
      <c r="E219" s="12"/>
      <c r="F219" s="502"/>
      <c r="G219" s="458">
        <f>IF(ISNA(VLOOKUP($H$214,'Val-Départ'!G39:AC49,20,FALSE)),,VLOOKUP($H$214,'Val-Départ'!G39:AC49,20,FALSE))</f>
        <v>0</v>
      </c>
      <c r="H219" s="502"/>
      <c r="I219" s="502"/>
      <c r="J219" s="12"/>
      <c r="K219" s="4"/>
      <c r="L219" s="4"/>
      <c r="M219" s="185">
        <f>IF(ISNA(VLOOKUP($M$213,'Val-Départ'!G18:W28,8,FALSE)),,VLOOKUP($M$213,'Val-Départ'!G18:W28,8,FALSE))</f>
        <v>0</v>
      </c>
      <c r="N219" s="4"/>
      <c r="O219" s="340"/>
      <c r="P219" s="12"/>
      <c r="Q219" s="493"/>
      <c r="R219" s="340"/>
      <c r="S219" s="340"/>
      <c r="Z219" s="12">
        <v>71</v>
      </c>
      <c r="AA219" s="493" t="s">
        <v>399</v>
      </c>
      <c r="AB219" s="340" t="s">
        <v>392</v>
      </c>
      <c r="AC219" s="340"/>
    </row>
    <row r="220" spans="1:44" s="11" customFormat="1" ht="14.1" customHeight="1">
      <c r="A220" s="737"/>
      <c r="B220" s="185">
        <f>IF(ISNA(VLOOKUP($C$213,'Val-Départ'!G41:AA41,8,FALSE)),,VLOOKUP($C$213,'Val-Départ'!G41:AA41,8,FALSE))</f>
        <v>0</v>
      </c>
      <c r="C220" s="4"/>
      <c r="D220" s="182"/>
      <c r="E220" s="12"/>
      <c r="F220" s="12"/>
      <c r="G220" s="458">
        <f>IF(ISNA(VLOOKUP($H$214,'Val-Départ'!G40:AC50,20,FALSE)),,VLOOKUP($H$214,'Val-Départ'!G40:AC50,20,FALSE))</f>
        <v>0</v>
      </c>
      <c r="H220" s="503"/>
      <c r="I220" s="468"/>
      <c r="J220" s="12"/>
      <c r="K220" s="4"/>
      <c r="L220" s="4"/>
      <c r="M220" s="185">
        <f>IF(ISNA(VLOOKUP($M$213,'Val-Départ'!G19:W29,8,FALSE)),,VLOOKUP($M$213,'Val-Départ'!G19:W29,8,FALSE))</f>
        <v>0</v>
      </c>
      <c r="N220" s="4"/>
      <c r="O220" s="340"/>
      <c r="P220" s="12"/>
      <c r="Q220" s="493"/>
      <c r="R220" s="340"/>
      <c r="S220" s="340"/>
      <c r="Y220"/>
    </row>
    <row r="221" spans="1:44" s="11" customFormat="1" ht="14.1" customHeight="1">
      <c r="A221" s="737"/>
      <c r="B221" s="185">
        <f>IF(ISNA(VLOOKUP($C$213,'Val-Départ'!G42:AA42,8,FALSE)),,VLOOKUP($C$213,'Val-Départ'!G42:AA42,8,FALSE))</f>
        <v>0</v>
      </c>
      <c r="C221" s="4"/>
      <c r="D221" s="182"/>
      <c r="E221" s="12"/>
      <c r="F221" s="12"/>
      <c r="G221" s="458">
        <f>IF(ISNA(VLOOKUP($H$214,'Val-Départ'!G41:AC51,20,FALSE)),,VLOOKUP($H$214,'Val-Départ'!G41:AC51,20,FALSE))</f>
        <v>0</v>
      </c>
      <c r="H221" s="503"/>
      <c r="I221" s="468"/>
      <c r="J221" s="12"/>
      <c r="K221" s="4"/>
      <c r="L221" s="4"/>
      <c r="M221" s="185">
        <f>IF(ISNA(VLOOKUP($M$213,'Val-Départ'!G20:W30,8,FALSE)),,VLOOKUP($M$213,'Val-Départ'!G20:W30,8,FALSE))</f>
        <v>0</v>
      </c>
      <c r="N221" s="4"/>
      <c r="O221" s="340"/>
      <c r="P221" s="12"/>
      <c r="Q221" s="493"/>
      <c r="R221" s="340"/>
      <c r="S221" s="340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</row>
    <row r="222" spans="1:44" ht="14.1" customHeight="1">
      <c r="A222" s="737"/>
      <c r="B222" s="185">
        <f>IF(ISNA(VLOOKUP($C$213,'Val-Départ'!G43:AA43,8,FALSE)),,VLOOKUP($C$213,'Val-Départ'!G43:AA43,8,FALSE))</f>
        <v>0</v>
      </c>
      <c r="C222" s="4"/>
      <c r="D222" s="182"/>
      <c r="E222" s="8"/>
      <c r="F222" s="12"/>
      <c r="G222" s="458">
        <f>IF(ISNA(VLOOKUP($H$214,'Val-Départ'!G42:AC52,20,FALSE)),,VLOOKUP($H$214,'Val-Départ'!G42:AC52,20,FALSE))</f>
        <v>0</v>
      </c>
      <c r="H222" s="503"/>
      <c r="I222" s="468"/>
      <c r="J222" s="8"/>
      <c r="L222" s="4"/>
      <c r="M222" s="185">
        <f>IF(ISNA(VLOOKUP($M$213,'Val-Départ'!G21:W31,8,FALSE)),,VLOOKUP($M$213,'Val-Départ'!G21:W31,8,FALSE))</f>
        <v>0</v>
      </c>
      <c r="N222" s="4"/>
      <c r="O222" s="177"/>
      <c r="P222" s="4"/>
      <c r="Q222" s="492"/>
      <c r="R222" s="177"/>
      <c r="S222" s="177"/>
      <c r="AA222" s="739" t="s">
        <v>374</v>
      </c>
      <c r="AB222" s="740"/>
      <c r="AC222" s="740"/>
      <c r="AD222" s="740"/>
      <c r="AE222" s="740"/>
      <c r="AF222" s="740"/>
      <c r="AG222" s="740"/>
      <c r="AH222" s="740"/>
      <c r="AI222" s="740"/>
      <c r="AJ222" s="740"/>
      <c r="AK222" s="740"/>
      <c r="AL222" s="741"/>
    </row>
    <row r="223" spans="1:44" ht="14.1" customHeight="1">
      <c r="A223" s="737"/>
      <c r="B223" s="184"/>
      <c r="C223" s="4"/>
      <c r="D223" s="182"/>
      <c r="E223" s="8"/>
      <c r="F223" s="12"/>
      <c r="G223" s="503"/>
      <c r="H223" s="503"/>
      <c r="I223" s="468"/>
      <c r="J223" s="8"/>
      <c r="L223" s="184"/>
      <c r="M223" s="4"/>
      <c r="N223" s="182"/>
      <c r="O223" s="177"/>
      <c r="P223" s="4"/>
      <c r="Q223" s="314"/>
      <c r="R223" s="177"/>
      <c r="S223" s="177"/>
      <c r="AA223" s="475">
        <v>4510</v>
      </c>
      <c r="AB223" s="476"/>
      <c r="AC223" s="468"/>
      <c r="AD223" s="11"/>
      <c r="AE223" s="12"/>
      <c r="AF223" s="1721" t="s">
        <v>30</v>
      </c>
      <c r="AG223" s="1722"/>
      <c r="AH223" s="468"/>
      <c r="AI223" s="11"/>
      <c r="AJ223" s="12"/>
      <c r="AK223" s="485">
        <f>AG108</f>
        <v>0</v>
      </c>
      <c r="AL223" s="486"/>
    </row>
    <row r="224" spans="1:44" ht="14.1" customHeight="1">
      <c r="A224" s="737"/>
      <c r="B224" s="184"/>
      <c r="C224" s="4"/>
      <c r="D224" s="182"/>
      <c r="E224" s="8"/>
      <c r="F224" s="12"/>
      <c r="G224" s="503"/>
      <c r="H224" s="503"/>
      <c r="I224" s="468"/>
      <c r="J224" s="8"/>
      <c r="L224" s="184"/>
      <c r="M224" s="4" t="s">
        <v>27</v>
      </c>
      <c r="N224" s="182"/>
      <c r="O224" s="177"/>
      <c r="P224" s="4"/>
      <c r="Q224" s="314"/>
      <c r="R224" s="177"/>
      <c r="S224" s="177"/>
      <c r="AA224" s="477">
        <v>451020</v>
      </c>
      <c r="AB224" s="478"/>
      <c r="AC224" s="468"/>
      <c r="AD224" s="11"/>
      <c r="AE224" s="12"/>
      <c r="AF224" s="1719" t="s">
        <v>381</v>
      </c>
      <c r="AG224" s="1720"/>
      <c r="AH224" s="468"/>
      <c r="AI224" s="11"/>
      <c r="AJ224" s="12"/>
      <c r="AK224" s="487">
        <f>AF218</f>
        <v>0</v>
      </c>
      <c r="AL224" s="428"/>
    </row>
    <row r="225" spans="1:38" ht="14.1" customHeight="1" thickBot="1">
      <c r="A225" s="737"/>
      <c r="B225" s="184"/>
      <c r="C225" s="4"/>
      <c r="D225" s="182"/>
      <c r="E225" s="8"/>
      <c r="F225" s="12"/>
      <c r="G225" s="500"/>
      <c r="H225" s="501"/>
      <c r="I225" s="468"/>
      <c r="J225" s="8"/>
      <c r="K225" s="189" t="s">
        <v>257</v>
      </c>
      <c r="L225" s="188">
        <v>486</v>
      </c>
      <c r="M225" s="187" t="s">
        <v>333</v>
      </c>
      <c r="N225" s="186" t="s">
        <v>264</v>
      </c>
      <c r="O225" s="177"/>
      <c r="P225" s="4"/>
      <c r="Q225" s="314"/>
      <c r="R225" s="177"/>
      <c r="S225" s="177"/>
      <c r="AA225" s="477" t="s">
        <v>375</v>
      </c>
      <c r="AB225" s="478"/>
      <c r="AC225" s="468"/>
      <c r="AD225" s="11"/>
      <c r="AE225" s="12"/>
      <c r="AF225" s="1719" t="s">
        <v>385</v>
      </c>
      <c r="AG225" s="1720"/>
      <c r="AH225" s="468"/>
      <c r="AI225" s="11"/>
      <c r="AJ225" s="12"/>
      <c r="AK225" s="487">
        <f>AF213</f>
        <v>0</v>
      </c>
      <c r="AL225" s="428"/>
    </row>
    <row r="226" spans="1:38" ht="14.1" customHeight="1">
      <c r="B226" s="184"/>
      <c r="C226" s="4"/>
      <c r="D226" s="182"/>
      <c r="E226" s="6"/>
      <c r="F226" s="12"/>
      <c r="G226" s="500"/>
      <c r="H226" s="501"/>
      <c r="I226" s="468"/>
      <c r="J226" s="6"/>
      <c r="L226" s="4"/>
      <c r="M226" s="185" t="str">
        <f>IF(ISNA(VLOOKUP($M$224,'Val-Départ'!G13:W23,12,FALSE)),,VLOOKUP($M$224,'Val-Départ'!G13:W23,12,FALSE))</f>
        <v>0</v>
      </c>
      <c r="N226" s="182"/>
      <c r="O226" s="177"/>
      <c r="P226" s="4"/>
      <c r="Q226" s="314"/>
      <c r="R226" s="177"/>
      <c r="S226" s="177"/>
      <c r="AA226" s="477" t="s">
        <v>376</v>
      </c>
      <c r="AB226" s="478"/>
      <c r="AC226" s="468"/>
      <c r="AD226" s="11"/>
      <c r="AE226" s="12"/>
      <c r="AF226" s="1719" t="s">
        <v>386</v>
      </c>
      <c r="AG226" s="1720"/>
      <c r="AH226" s="468"/>
      <c r="AI226" s="11"/>
      <c r="AJ226" s="12"/>
      <c r="AK226" s="487">
        <f>AF209</f>
        <v>0</v>
      </c>
      <c r="AL226" s="428"/>
    </row>
    <row r="227" spans="1:38" ht="14.1" customHeight="1" thickBot="1">
      <c r="B227" s="4" t="s">
        <v>11</v>
      </c>
      <c r="C227" s="187" t="s">
        <v>360</v>
      </c>
      <c r="D227" s="182"/>
      <c r="E227" s="6"/>
      <c r="F227" s="12"/>
      <c r="G227" s="500"/>
      <c r="H227" s="501"/>
      <c r="I227" s="468"/>
      <c r="J227" s="6"/>
      <c r="M227" s="185" t="str">
        <f>IF(ISNA(VLOOKUP($M$224,'Val-Départ'!G14:W24,12,FALSE)),,VLOOKUP($M$224,'Val-Départ'!G14:W24,12,FALSE))</f>
        <v>0</v>
      </c>
      <c r="O227" s="177"/>
      <c r="P227" s="4"/>
      <c r="Q227" s="314"/>
      <c r="R227" s="177"/>
      <c r="S227" s="177"/>
      <c r="AA227" s="477" t="s">
        <v>377</v>
      </c>
      <c r="AB227" s="478"/>
      <c r="AC227" s="468"/>
      <c r="AD227" s="11"/>
      <c r="AE227" s="12"/>
      <c r="AF227" s="1719"/>
      <c r="AG227" s="1720"/>
      <c r="AH227" s="468"/>
      <c r="AI227" s="11"/>
      <c r="AJ227" s="12"/>
      <c r="AK227" s="487"/>
      <c r="AL227" s="428"/>
    </row>
    <row r="228" spans="1:38" ht="14.1" customHeight="1" thickBot="1">
      <c r="A228" s="189" t="s">
        <v>257</v>
      </c>
      <c r="B228" s="188">
        <v>6122</v>
      </c>
      <c r="C228" s="488" t="s">
        <v>229</v>
      </c>
      <c r="D228" s="186" t="s">
        <v>256</v>
      </c>
      <c r="E228" s="6"/>
      <c r="F228" s="12"/>
      <c r="G228" s="500"/>
      <c r="H228" s="501"/>
      <c r="I228" s="468"/>
      <c r="J228" s="6"/>
      <c r="M228" s="185" t="str">
        <f>IF(ISNA(VLOOKUP($M$224,'Val-Départ'!G15:W25,12,FALSE)),,VLOOKUP($M$224,'Val-Départ'!G15:W25,12,FALSE))</f>
        <v>0</v>
      </c>
      <c r="O228" s="177"/>
      <c r="P228" s="4"/>
      <c r="Q228" s="314"/>
      <c r="R228" s="177"/>
      <c r="S228" s="177"/>
      <c r="T228" s="737"/>
      <c r="U228" s="737"/>
      <c r="V228" s="737"/>
      <c r="AA228" s="477"/>
      <c r="AB228" s="478" t="s">
        <v>378</v>
      </c>
      <c r="AC228" s="468"/>
      <c r="AD228" s="11"/>
      <c r="AE228" s="12"/>
      <c r="AF228" s="481"/>
      <c r="AG228" s="482" t="s">
        <v>25</v>
      </c>
      <c r="AH228" s="468"/>
      <c r="AI228" s="11"/>
      <c r="AJ228" s="12"/>
      <c r="AK228" s="428"/>
      <c r="AL228" s="487">
        <f>AF192</f>
        <v>0</v>
      </c>
    </row>
    <row r="229" spans="1:38" ht="14.1" customHeight="1">
      <c r="B229" s="185">
        <f>IF(ISNA(VLOOKUP($C$227,'Val-Départ'!G35:AA43,8,FALSE)),,VLOOKUP($C$227,'Val-Départ'!G35:AA43,8,FALSE))</f>
        <v>0</v>
      </c>
      <c r="C229" s="4"/>
      <c r="D229" s="182"/>
      <c r="E229" s="6"/>
      <c r="F229" s="12"/>
      <c r="G229" s="500"/>
      <c r="H229" s="501"/>
      <c r="I229" s="468"/>
      <c r="J229" s="6"/>
      <c r="M229" s="185" t="str">
        <f>IF(ISNA(VLOOKUP($M$224,'Val-Départ'!G16:W26,12,FALSE)),,VLOOKUP($M$224,'Val-Départ'!G16:W26,12,FALSE))</f>
        <v>0</v>
      </c>
      <c r="O229" s="177"/>
      <c r="P229" s="4"/>
      <c r="Q229" s="314"/>
      <c r="R229" s="177"/>
      <c r="S229" s="177"/>
      <c r="T229" s="737"/>
      <c r="U229" s="737"/>
      <c r="V229" s="737"/>
      <c r="Y229" s="4"/>
      <c r="AA229" s="477"/>
      <c r="AB229" s="478" t="s">
        <v>379</v>
      </c>
      <c r="AC229" s="468"/>
      <c r="AD229" s="11"/>
      <c r="AE229" s="12"/>
      <c r="AF229" s="481"/>
      <c r="AG229" s="482" t="s">
        <v>383</v>
      </c>
      <c r="AH229" s="468"/>
      <c r="AI229" s="11"/>
      <c r="AJ229" s="12"/>
      <c r="AK229" s="428"/>
      <c r="AL229" s="487">
        <f>AQ200</f>
        <v>0</v>
      </c>
    </row>
    <row r="230" spans="1:38" ht="14.1" customHeight="1">
      <c r="A230" s="737"/>
      <c r="B230" s="185">
        <f>IF(ISNA(VLOOKUP($C$227,'Val-Départ'!G36:AA44,8,FALSE)),,VLOOKUP($C$227,'Val-Départ'!G36:AA44,8,FALSE))</f>
        <v>0</v>
      </c>
      <c r="C230" s="4"/>
      <c r="D230" s="182"/>
      <c r="E230" s="6"/>
      <c r="F230" s="12"/>
      <c r="G230" s="500"/>
      <c r="H230" s="501"/>
      <c r="I230" s="468"/>
      <c r="J230" s="6"/>
      <c r="M230" s="185" t="str">
        <f>IF(ISNA(VLOOKUP($M$224,'Val-Départ'!G17:W27,12,FALSE)),,VLOOKUP($M$224,'Val-Départ'!G17:W27,12,FALSE))</f>
        <v>0</v>
      </c>
      <c r="O230" s="177"/>
      <c r="P230" s="4"/>
      <c r="Q230" s="314"/>
      <c r="R230" s="177"/>
      <c r="S230" s="177"/>
      <c r="T230" s="737"/>
      <c r="U230" s="737"/>
      <c r="V230" s="737"/>
      <c r="Y230" s="442"/>
      <c r="AA230" s="477"/>
      <c r="AB230" s="478"/>
      <c r="AC230" s="468"/>
      <c r="AD230" s="11"/>
      <c r="AE230" s="12"/>
      <c r="AF230" s="481"/>
      <c r="AG230" s="482"/>
      <c r="AH230" s="468"/>
      <c r="AI230" s="11"/>
      <c r="AJ230" s="12"/>
      <c r="AK230" s="428"/>
      <c r="AL230" s="428"/>
    </row>
    <row r="231" spans="1:38" ht="14.1" customHeight="1">
      <c r="A231" s="737"/>
      <c r="B231" s="185">
        <f>IF(ISNA(VLOOKUP($C$227,'Val-Départ'!G37:AA45,8,FALSE)),,VLOOKUP($C$227,'Val-Départ'!G37:AA45,8,FALSE))</f>
        <v>0</v>
      </c>
      <c r="C231" s="4"/>
      <c r="D231" s="182"/>
      <c r="E231" s="6"/>
      <c r="F231" s="12"/>
      <c r="G231" s="500"/>
      <c r="H231" s="501"/>
      <c r="I231" s="468"/>
      <c r="J231" s="6"/>
      <c r="M231" s="185">
        <f>IF(ISNA(VLOOKUP($M$224,'Val-Départ'!G18:W28,12,FALSE)),,VLOOKUP($M$224,'Val-Départ'!G18:W28,12,FALSE))</f>
        <v>0</v>
      </c>
      <c r="O231" s="177"/>
      <c r="P231" s="4"/>
      <c r="Q231" s="314"/>
      <c r="R231" s="177"/>
      <c r="S231" s="177"/>
      <c r="W231" s="4"/>
      <c r="X231" s="4"/>
      <c r="AA231" s="477" t="s">
        <v>377</v>
      </c>
      <c r="AB231" s="478"/>
      <c r="AC231" s="468"/>
      <c r="AD231" s="11"/>
      <c r="AE231" s="12"/>
      <c r="AF231" s="481" t="s">
        <v>384</v>
      </c>
      <c r="AG231" s="482"/>
      <c r="AH231" s="468"/>
      <c r="AI231" s="11"/>
      <c r="AJ231" s="12"/>
      <c r="AK231" s="487">
        <f>'Val-Départ'!AE66</f>
        <v>0</v>
      </c>
      <c r="AL231" s="428"/>
    </row>
    <row r="232" spans="1:38" ht="14.1" customHeight="1">
      <c r="A232" s="737"/>
      <c r="B232" s="185">
        <f>IF(ISNA(VLOOKUP($C$227,'Val-Départ'!G38:AA46,8,FALSE)),,VLOOKUP($C$227,'Val-Départ'!G38:AA46,8,FALSE))</f>
        <v>0</v>
      </c>
      <c r="C232" s="4"/>
      <c r="D232" s="182"/>
      <c r="E232" s="6"/>
      <c r="F232" s="12"/>
      <c r="G232" s="500"/>
      <c r="H232" s="501"/>
      <c r="I232" s="468"/>
      <c r="J232" s="6"/>
      <c r="K232" s="502"/>
      <c r="L232" s="502"/>
      <c r="M232" s="185">
        <f>IF(ISNA(VLOOKUP($M$224,'Val-Départ'!G19:W29,12,FALSE)),,VLOOKUP($M$224,'Val-Départ'!G19:W29,12,FALSE))</f>
        <v>0</v>
      </c>
      <c r="N232" s="11"/>
      <c r="O232" s="177"/>
      <c r="P232" s="4"/>
      <c r="Q232" s="314"/>
      <c r="R232" s="177"/>
      <c r="S232" s="177"/>
      <c r="W232" s="442"/>
      <c r="X232" s="442"/>
      <c r="AA232" s="477"/>
      <c r="AB232" s="478" t="s">
        <v>380</v>
      </c>
      <c r="AC232" s="468"/>
      <c r="AD232" s="11"/>
      <c r="AE232" s="12"/>
      <c r="AF232" s="481"/>
      <c r="AG232" s="482" t="s">
        <v>382</v>
      </c>
      <c r="AH232" s="468"/>
      <c r="AI232" s="11"/>
      <c r="AJ232" s="12"/>
      <c r="AK232" s="428"/>
      <c r="AL232" s="487">
        <f>'Val-Départ'!AE66</f>
        <v>0</v>
      </c>
    </row>
    <row r="233" spans="1:38" ht="14.1" customHeight="1">
      <c r="A233" s="737"/>
      <c r="B233" s="185">
        <f>IF(ISNA(VLOOKUP($C$227,'Val-Départ'!G39:AA47,8,FALSE)),,VLOOKUP($C$227,'Val-Départ'!G39:AA47,8,FALSE))</f>
        <v>0</v>
      </c>
      <c r="C233" s="4"/>
      <c r="D233" s="182"/>
      <c r="E233" s="6"/>
      <c r="F233" s="12"/>
      <c r="G233" s="500"/>
      <c r="H233" s="501"/>
      <c r="I233" s="468"/>
      <c r="J233" s="6"/>
      <c r="K233" s="12"/>
      <c r="L233" s="499"/>
      <c r="M233" s="185">
        <f>IF(ISNA(VLOOKUP($M$224,'Val-Départ'!G20:W30,12,FALSE)),,VLOOKUP($M$224,'Val-Départ'!G20:W30,12,FALSE))</f>
        <v>0</v>
      </c>
      <c r="N233" s="11"/>
      <c r="O233" s="177"/>
      <c r="P233" s="4"/>
      <c r="Q233" s="314"/>
      <c r="R233" s="177"/>
      <c r="S233" s="177"/>
      <c r="AA233" s="479"/>
      <c r="AB233" s="480"/>
      <c r="AC233" s="295"/>
      <c r="AD233" s="6"/>
      <c r="AE233" s="8"/>
      <c r="AF233" s="483"/>
      <c r="AG233" s="484"/>
      <c r="AH233" s="295"/>
      <c r="AI233" s="6"/>
      <c r="AJ233" s="8"/>
      <c r="AK233" s="14"/>
      <c r="AL233" s="14"/>
    </row>
    <row r="234" spans="1:38" ht="14.1" customHeight="1">
      <c r="A234" s="737"/>
      <c r="B234" s="185">
        <f>IF(ISNA(VLOOKUP($C$227,'Val-Départ'!G40:AA48,8,FALSE)),,VLOOKUP($C$227,'Val-Départ'!G40:AA48,8,FALSE))</f>
        <v>0</v>
      </c>
      <c r="C234" s="4"/>
      <c r="D234" s="182"/>
      <c r="E234" s="6"/>
      <c r="F234" s="12"/>
      <c r="G234" s="500"/>
      <c r="H234" s="501"/>
      <c r="I234" s="468"/>
      <c r="J234" s="6"/>
      <c r="K234" s="12"/>
      <c r="L234" s="499"/>
      <c r="M234" s="185">
        <f>IF(ISNA(VLOOKUP($M$224,'Val-Départ'!G21:W31,12,FALSE)),,VLOOKUP($M$224,'Val-Départ'!G21:W31,12,FALSE))</f>
        <v>0</v>
      </c>
      <c r="N234" s="11"/>
      <c r="O234" s="177"/>
      <c r="P234" s="4"/>
      <c r="Q234" s="314"/>
      <c r="R234" s="177"/>
      <c r="S234" s="177"/>
      <c r="U234" s="4"/>
      <c r="V234" s="4"/>
      <c r="AA234" s="479"/>
      <c r="AB234" s="480"/>
      <c r="AC234" s="295"/>
      <c r="AD234" s="6"/>
      <c r="AE234" s="8"/>
      <c r="AF234" s="483"/>
      <c r="AG234" s="484"/>
      <c r="AH234" s="295"/>
      <c r="AI234" s="6"/>
      <c r="AJ234" s="8"/>
      <c r="AK234" s="14"/>
      <c r="AL234" s="14"/>
    </row>
    <row r="235" spans="1:38" ht="14.1" customHeight="1">
      <c r="A235" s="737"/>
      <c r="B235" s="185">
        <f>IF(ISNA(VLOOKUP($C$227,'Val-Départ'!G41:AA49,8,FALSE)),,VLOOKUP($C$227,'Val-Départ'!G41:AA49,8,FALSE))</f>
        <v>0</v>
      </c>
      <c r="C235" s="4"/>
      <c r="D235" s="182"/>
      <c r="E235" s="6"/>
      <c r="F235" s="12"/>
      <c r="G235" s="500"/>
      <c r="H235" s="501"/>
      <c r="I235" s="468"/>
      <c r="J235" s="6"/>
      <c r="K235" s="12"/>
      <c r="L235" s="499"/>
      <c r="M235" s="185">
        <f>IF(ISNA(VLOOKUP($M$224,'Val-Départ'!G22:W32,12,FALSE)),,VLOOKUP($M$224,'Val-Départ'!G22:W32,12,FALSE))</f>
        <v>0</v>
      </c>
      <c r="N235" s="11"/>
      <c r="O235" s="177"/>
      <c r="P235" s="4"/>
      <c r="Q235" s="314"/>
      <c r="R235" s="177"/>
      <c r="S235" s="177"/>
      <c r="U235" s="442"/>
      <c r="V235" s="442"/>
      <c r="AA235" s="456"/>
      <c r="AB235" s="470"/>
      <c r="AC235" s="295"/>
      <c r="AD235" s="6"/>
      <c r="AE235" s="6"/>
      <c r="AF235" s="6"/>
      <c r="AG235" s="6"/>
      <c r="AH235" s="6"/>
      <c r="AI235" s="6"/>
      <c r="AJ235" s="8"/>
      <c r="AK235" s="6"/>
      <c r="AL235" s="6"/>
    </row>
    <row r="236" spans="1:38" ht="14.1" customHeight="1">
      <c r="A236" s="737"/>
      <c r="B236" s="185">
        <f>IF(ISNA(VLOOKUP($C$227,'Val-Départ'!G42:AA50,8,FALSE)),,VLOOKUP($C$227,'Val-Départ'!G42:AA50,8,FALSE))</f>
        <v>0</v>
      </c>
      <c r="C236" s="4"/>
      <c r="D236" s="182"/>
      <c r="E236" s="6"/>
      <c r="F236" s="12"/>
      <c r="G236" s="500"/>
      <c r="H236" s="501"/>
      <c r="I236" s="468"/>
      <c r="J236" s="6"/>
      <c r="K236" s="12"/>
      <c r="L236" s="499"/>
      <c r="M236" s="185">
        <f>IF(ISNA(VLOOKUP($M$224,'Val-Départ'!G23:W33,12,FALSE)),,VLOOKUP($M$224,'Val-Départ'!G23:W33,12,FALSE))</f>
        <v>0</v>
      </c>
      <c r="N236" s="11"/>
      <c r="O236" s="177"/>
      <c r="P236" s="4"/>
      <c r="Q236" s="314"/>
      <c r="R236" s="177"/>
      <c r="S236" s="177"/>
    </row>
    <row r="237" spans="1:38" ht="14.1" customHeight="1">
      <c r="A237" s="737"/>
      <c r="B237" s="185">
        <f>IF(ISNA(VLOOKUP($C$227,'Val-Départ'!G43:AA51,8,FALSE)),,VLOOKUP($C$227,'Val-Départ'!G43:AA51,8,FALSE))</f>
        <v>0</v>
      </c>
      <c r="C237" s="4"/>
      <c r="D237" s="182"/>
      <c r="E237" s="6"/>
      <c r="F237" s="12"/>
      <c r="G237" s="500"/>
      <c r="H237" s="501"/>
      <c r="I237" s="468"/>
      <c r="J237" s="6"/>
      <c r="K237" s="12"/>
      <c r="L237" s="499"/>
      <c r="M237" s="12"/>
      <c r="N237" s="11"/>
      <c r="O237" s="177"/>
      <c r="P237" s="4"/>
      <c r="Q237" s="314"/>
      <c r="R237" s="177"/>
      <c r="S237" s="177"/>
    </row>
    <row r="238" spans="1:38" ht="14.1" customHeight="1">
      <c r="A238" s="737"/>
      <c r="B238" s="185">
        <f>IF(ISNA(VLOOKUP($C$227,'Val-Départ'!G44:AA52,8,FALSE)),,VLOOKUP($C$227,'Val-Départ'!G44:AA52,8,FALSE))</f>
        <v>0</v>
      </c>
      <c r="C238" s="4"/>
      <c r="D238" s="182"/>
      <c r="E238" s="6"/>
      <c r="F238" s="12"/>
      <c r="G238" s="500"/>
      <c r="H238" s="501"/>
      <c r="I238" s="468"/>
      <c r="J238" s="6"/>
      <c r="K238" s="12"/>
      <c r="L238" s="12"/>
      <c r="M238" s="499"/>
      <c r="N238" s="11"/>
      <c r="O238" s="177"/>
      <c r="P238" s="4"/>
      <c r="Q238" s="314"/>
      <c r="R238" s="177"/>
      <c r="S238" s="177"/>
      <c r="T238" s="4"/>
      <c r="U238" s="4"/>
      <c r="V238" s="4"/>
    </row>
    <row r="239" spans="1:38" ht="14.1" customHeight="1">
      <c r="A239" s="737"/>
      <c r="B239" s="184"/>
      <c r="C239" s="4"/>
      <c r="D239" s="182"/>
      <c r="E239" s="6"/>
      <c r="F239" s="12"/>
      <c r="G239" s="500"/>
      <c r="H239" s="501"/>
      <c r="I239" s="468"/>
      <c r="J239" s="6"/>
      <c r="K239" s="12"/>
      <c r="L239" s="12"/>
      <c r="M239" s="499"/>
      <c r="N239" s="11"/>
      <c r="O239" s="442"/>
      <c r="P239" s="442"/>
      <c r="Q239" s="442"/>
      <c r="R239" s="442"/>
      <c r="S239" s="442"/>
      <c r="T239" s="442"/>
      <c r="U239" s="442"/>
      <c r="V239" s="442"/>
    </row>
    <row r="240" spans="1:38" ht="14.1" customHeight="1">
      <c r="A240" s="737"/>
      <c r="B240" s="184"/>
      <c r="C240" s="4"/>
      <c r="D240" s="182"/>
      <c r="E240" s="6"/>
      <c r="F240" s="12"/>
      <c r="G240" s="500"/>
      <c r="H240" s="501"/>
      <c r="I240" s="468"/>
      <c r="J240" s="6"/>
      <c r="K240" s="12"/>
      <c r="L240" s="12"/>
      <c r="M240" s="12"/>
      <c r="N240" s="11"/>
      <c r="O240" s="177"/>
      <c r="P240" s="4"/>
      <c r="Q240" s="314"/>
      <c r="R240" s="177"/>
      <c r="S240" s="177"/>
    </row>
    <row r="241" spans="1:19" ht="14.1" customHeight="1">
      <c r="B241" s="184"/>
      <c r="C241" s="4"/>
      <c r="D241" s="182"/>
      <c r="E241" s="6"/>
      <c r="F241" s="12"/>
      <c r="G241" s="500"/>
      <c r="H241" s="501"/>
      <c r="I241" s="468"/>
      <c r="J241" s="6"/>
      <c r="K241" s="12"/>
      <c r="L241" s="499"/>
      <c r="M241" s="12"/>
      <c r="N241" s="11"/>
      <c r="O241" s="177"/>
      <c r="P241" s="4"/>
      <c r="Q241" s="314"/>
      <c r="R241" s="177"/>
      <c r="S241" s="177"/>
    </row>
    <row r="242" spans="1:19" ht="14.1" customHeight="1">
      <c r="A242" s="737"/>
      <c r="B242" s="184"/>
      <c r="C242" s="4"/>
      <c r="D242" s="182"/>
      <c r="E242" s="6"/>
      <c r="F242" s="12"/>
      <c r="G242" s="500"/>
      <c r="H242" s="501"/>
      <c r="I242" s="468"/>
      <c r="J242" s="6"/>
      <c r="K242" s="12"/>
      <c r="L242" s="12"/>
      <c r="M242" s="499"/>
      <c r="N242" s="11"/>
      <c r="O242" s="177"/>
      <c r="P242" s="177"/>
      <c r="Q242" s="314"/>
      <c r="R242" s="177"/>
      <c r="S242" s="4"/>
    </row>
    <row r="243" spans="1:19" ht="14.1" customHeight="1" thickBot="1">
      <c r="A243" s="407" t="s">
        <v>257</v>
      </c>
      <c r="B243" s="188">
        <v>61210</v>
      </c>
      <c r="C243" s="190" t="s">
        <v>13</v>
      </c>
      <c r="D243" s="186" t="s">
        <v>264</v>
      </c>
      <c r="E243" s="6"/>
      <c r="F243" s="12"/>
      <c r="G243" s="500"/>
      <c r="H243" s="501"/>
      <c r="I243" s="468"/>
      <c r="J243" s="6"/>
      <c r="K243" s="8"/>
      <c r="L243" s="8"/>
      <c r="M243" s="8"/>
      <c r="O243" s="4"/>
      <c r="P243" s="177"/>
      <c r="Q243" s="314"/>
      <c r="R243" s="4"/>
    </row>
    <row r="244" spans="1:19" ht="14.1" customHeight="1">
      <c r="A244" s="406"/>
      <c r="B244" s="185">
        <f>IF(ISNA(VLOOKUP($C$243,'Val-Départ'!G13:W23,8,FALSE)),,VLOOKUP($C$243,'Val-Départ'!G13:W23,8,FALSE))</f>
        <v>0</v>
      </c>
      <c r="C244" s="4"/>
      <c r="D244" s="182"/>
      <c r="E244" s="6"/>
      <c r="F244" s="12"/>
      <c r="G244" s="500"/>
      <c r="H244" s="501"/>
      <c r="I244" s="468"/>
      <c r="J244" s="6"/>
      <c r="K244" s="8"/>
      <c r="L244" s="8"/>
      <c r="M244" s="8"/>
      <c r="P244" s="177"/>
      <c r="Q244" s="8"/>
    </row>
    <row r="245" spans="1:19" ht="14.1" customHeight="1">
      <c r="B245" s="185">
        <f>IF(ISNA(VLOOKUP($C$243,'Val-Départ'!G14:W24,8,FALSE)),,VLOOKUP($C$243,'Val-Départ'!G14:W24,8,FALSE))</f>
        <v>0</v>
      </c>
      <c r="C245" s="4"/>
      <c r="D245" s="182"/>
      <c r="E245" s="6"/>
      <c r="F245" s="12"/>
      <c r="G245" s="500"/>
      <c r="H245" s="501"/>
      <c r="I245" s="468"/>
      <c r="J245" s="6"/>
      <c r="K245" s="8"/>
      <c r="L245" s="8"/>
      <c r="M245" s="8"/>
      <c r="P245" s="4"/>
    </row>
    <row r="246" spans="1:19" ht="14.1" customHeight="1">
      <c r="A246" s="12"/>
      <c r="B246" s="185">
        <f>IF(ISNA(VLOOKUP($C$243,'Val-Départ'!G15:W25,8,FALSE)),,VLOOKUP($C$243,'Val-Départ'!G15:W25,8,FALSE))</f>
        <v>0</v>
      </c>
      <c r="C246" s="401"/>
      <c r="D246" s="340"/>
      <c r="E246" s="6"/>
      <c r="F246" s="12"/>
      <c r="G246" s="500"/>
      <c r="H246" s="501"/>
      <c r="I246" s="468"/>
      <c r="J246" s="6"/>
      <c r="K246" s="8"/>
      <c r="L246" s="8"/>
      <c r="M246" s="8"/>
    </row>
    <row r="247" spans="1:19" ht="14.1" customHeight="1">
      <c r="A247" s="4"/>
      <c r="B247" s="185">
        <f>IF(ISNA(VLOOKUP($C$243,'Val-Départ'!G16:W26,8,FALSE)),,VLOOKUP($C$243,'Val-Départ'!G16:W26,8,FALSE))</f>
        <v>0</v>
      </c>
      <c r="C247" s="4"/>
      <c r="D247" s="182"/>
      <c r="E247" s="6"/>
      <c r="F247" s="12"/>
      <c r="G247" s="500"/>
      <c r="H247" s="501"/>
      <c r="I247" s="468"/>
      <c r="J247" s="6"/>
      <c r="K247" s="8"/>
      <c r="L247" s="6"/>
      <c r="M247" s="6"/>
    </row>
    <row r="248" spans="1:19" ht="14.1" customHeight="1">
      <c r="B248" s="185">
        <f>IF(ISNA(VLOOKUP($C$243,'Val-Départ'!G17:W27,8,FALSE)),,VLOOKUP($C$243,'Val-Départ'!G17:W27,8,FALSE))</f>
        <v>0</v>
      </c>
      <c r="C248" s="4"/>
      <c r="D248" s="182"/>
      <c r="E248" s="6"/>
      <c r="F248" s="12"/>
      <c r="G248" s="500"/>
      <c r="H248" s="501"/>
      <c r="I248" s="468"/>
      <c r="J248" s="6"/>
    </row>
    <row r="249" spans="1:19" ht="14.1" customHeight="1">
      <c r="B249" s="185">
        <f>IF(ISNA(VLOOKUP($C$243,'Val-Départ'!G18:W28,8,FALSE)),,VLOOKUP($C$243,'Val-Départ'!G18:W28,8,FALSE))</f>
        <v>0</v>
      </c>
      <c r="C249" s="4"/>
      <c r="D249" s="182"/>
      <c r="E249" s="6"/>
      <c r="F249" s="12"/>
      <c r="G249" s="500"/>
      <c r="H249" s="501"/>
      <c r="I249" s="468"/>
      <c r="J249" s="6"/>
      <c r="L249" s="737"/>
      <c r="M249" s="737"/>
      <c r="N249" s="737"/>
    </row>
    <row r="250" spans="1:19" ht="14.1" customHeight="1">
      <c r="B250" s="185">
        <f>IF(ISNA(VLOOKUP($C$243,'Val-Départ'!G19:W29,8,FALSE)),,VLOOKUP($C$243,'Val-Départ'!G19:W29,8,FALSE))</f>
        <v>0</v>
      </c>
      <c r="C250" s="4"/>
      <c r="D250" s="182"/>
      <c r="E250" s="6"/>
      <c r="F250" s="12"/>
      <c r="G250" s="500"/>
      <c r="H250" s="501"/>
      <c r="I250" s="468"/>
      <c r="J250" s="6"/>
      <c r="L250" s="737"/>
      <c r="M250" s="737"/>
      <c r="N250" s="737"/>
    </row>
    <row r="251" spans="1:19" ht="14.1" customHeight="1">
      <c r="B251" s="185">
        <f>IF(ISNA(VLOOKUP($C$243,'Val-Départ'!G20:W30,8,FALSE)),,VLOOKUP($C$243,'Val-Départ'!G20:W30,8,FALSE))</f>
        <v>0</v>
      </c>
      <c r="C251" s="4"/>
      <c r="D251" s="182"/>
      <c r="E251" s="6"/>
      <c r="F251" s="12"/>
      <c r="G251" s="500"/>
      <c r="H251" s="501"/>
      <c r="I251" s="468"/>
      <c r="J251" s="6"/>
      <c r="L251" s="737"/>
      <c r="M251" s="737"/>
      <c r="N251" s="737"/>
    </row>
    <row r="252" spans="1:19" ht="14.1" customHeight="1">
      <c r="A252" s="11"/>
      <c r="B252" s="185">
        <f>IF(ISNA(VLOOKUP($C$243,'Val-Départ'!G21:W31,8,FALSE)),,VLOOKUP($C$243,'Val-Départ'!G21:W31,8,FALSE))</f>
        <v>0</v>
      </c>
      <c r="C252" s="502"/>
      <c r="D252" s="502"/>
      <c r="E252" s="6"/>
      <c r="F252" s="12"/>
      <c r="G252" s="500"/>
      <c r="H252" s="501"/>
      <c r="I252" s="468"/>
    </row>
    <row r="253" spans="1:19" ht="14.1" customHeight="1">
      <c r="A253" s="11"/>
      <c r="B253" s="185">
        <f>IF(ISNA(VLOOKUP($C$243,'Val-Départ'!G22:W32,8,FALSE)),,VLOOKUP($C$243,'Val-Départ'!G22:W32,8,FALSE))</f>
        <v>0</v>
      </c>
      <c r="C253" s="472"/>
      <c r="D253" s="468"/>
      <c r="E253" s="6"/>
      <c r="F253" s="12"/>
      <c r="G253" s="500"/>
      <c r="H253" s="501"/>
      <c r="I253" s="468"/>
      <c r="J253" s="737"/>
    </row>
    <row r="254" spans="1:19" ht="14.1" customHeight="1">
      <c r="A254" s="11"/>
      <c r="B254" s="185">
        <f>IF(ISNA(VLOOKUP($C$243,'Val-Départ'!G23:W33,8,FALSE)),,VLOOKUP($C$243,'Val-Départ'!G23:W33,8,FALSE))</f>
        <v>0</v>
      </c>
      <c r="C254" s="472"/>
      <c r="D254" s="468"/>
      <c r="E254" s="6"/>
      <c r="F254" s="12"/>
      <c r="G254" s="500"/>
      <c r="H254" s="501"/>
      <c r="I254" s="468"/>
      <c r="J254" s="737"/>
    </row>
    <row r="255" spans="1:19" ht="14.1" customHeight="1">
      <c r="A255" s="11"/>
      <c r="B255" s="498"/>
      <c r="C255" s="472"/>
      <c r="D255" s="468"/>
      <c r="E255" s="6"/>
      <c r="F255" s="12"/>
      <c r="G255" s="500"/>
      <c r="H255" s="501"/>
      <c r="I255" s="468"/>
      <c r="J255" s="737"/>
    </row>
    <row r="256" spans="1:19">
      <c r="B256" s="1504" t="s">
        <v>255</v>
      </c>
      <c r="C256" s="1498"/>
      <c r="D256" s="1498"/>
      <c r="E256" s="1498"/>
      <c r="F256" s="1492"/>
      <c r="G256" s="6"/>
      <c r="H256" s="6"/>
      <c r="I256" s="6"/>
      <c r="J256" s="4"/>
      <c r="L256" s="4"/>
      <c r="M256" s="4"/>
      <c r="P256" s="6"/>
      <c r="Q256"/>
    </row>
    <row r="257" spans="2:17">
      <c r="B257" s="1493" t="s">
        <v>254</v>
      </c>
      <c r="C257" s="1492"/>
      <c r="D257" s="1492"/>
      <c r="E257" s="1492"/>
      <c r="F257" s="737"/>
    </row>
    <row r="258" spans="2:17">
      <c r="B258" s="1477" t="s">
        <v>253</v>
      </c>
      <c r="C258" s="1476"/>
      <c r="D258" s="1476"/>
      <c r="E258" s="1476"/>
      <c r="F258" s="737"/>
      <c r="G258" s="1492"/>
      <c r="H258" s="1492"/>
      <c r="I258" s="737"/>
    </row>
    <row r="259" spans="2:17">
      <c r="B259" s="1497" t="s">
        <v>252</v>
      </c>
      <c r="C259" s="395"/>
      <c r="D259" s="395"/>
      <c r="E259" s="395"/>
      <c r="G259" s="737"/>
      <c r="H259" s="737"/>
      <c r="I259" s="737"/>
    </row>
    <row r="260" spans="2:17">
      <c r="G260" s="737"/>
      <c r="H260" s="737"/>
      <c r="I260" s="737"/>
    </row>
    <row r="262" spans="2:17">
      <c r="B262" s="177"/>
      <c r="C262" s="4"/>
      <c r="D262" s="182"/>
      <c r="F262" s="1499"/>
    </row>
    <row r="263" spans="2:17">
      <c r="B263" s="177"/>
      <c r="C263" s="4"/>
      <c r="D263" s="182"/>
      <c r="F263" s="1500"/>
    </row>
    <row r="264" spans="2:17">
      <c r="B264" s="171" t="s">
        <v>251</v>
      </c>
      <c r="C264" s="133"/>
      <c r="D264" s="133"/>
      <c r="E264" s="133"/>
      <c r="F264" s="400"/>
      <c r="K264"/>
    </row>
    <row r="265" spans="2:17">
      <c r="B265" s="180" t="s">
        <v>245</v>
      </c>
      <c r="C265" s="179"/>
      <c r="D265" s="179"/>
      <c r="E265" s="179"/>
      <c r="F265" s="396"/>
      <c r="K265"/>
    </row>
    <row r="266" spans="2:17">
      <c r="B266" s="183"/>
      <c r="C266" s="4"/>
      <c r="D266" s="182"/>
      <c r="K266"/>
    </row>
    <row r="267" spans="2:17">
      <c r="B267" s="177"/>
      <c r="C267" s="4"/>
      <c r="D267" s="182"/>
      <c r="K267"/>
    </row>
    <row r="268" spans="2:17">
      <c r="B268" s="181"/>
      <c r="C268" s="171" t="s">
        <v>250</v>
      </c>
      <c r="D268" s="133"/>
      <c r="E268" s="133"/>
      <c r="F268" s="133"/>
      <c r="G268" s="133"/>
      <c r="H268" s="133"/>
      <c r="I268" s="133"/>
      <c r="K268"/>
    </row>
    <row r="269" spans="2:17">
      <c r="C269" s="180" t="s">
        <v>249</v>
      </c>
      <c r="D269" s="179"/>
      <c r="E269" s="179"/>
      <c r="F269" s="179"/>
      <c r="G269" s="179"/>
      <c r="H269" s="179"/>
      <c r="I269" s="179"/>
      <c r="K269"/>
    </row>
    <row r="270" spans="2:17">
      <c r="K270"/>
    </row>
    <row r="271" spans="2:17">
      <c r="K271"/>
      <c r="L271" s="6"/>
      <c r="Q271"/>
    </row>
    <row r="272" spans="2:17">
      <c r="K272"/>
      <c r="L272" s="6"/>
      <c r="Q272"/>
    </row>
    <row r="273" spans="11:17">
      <c r="K273"/>
      <c r="L273" s="6"/>
      <c r="Q273"/>
    </row>
    <row r="274" spans="11:17">
      <c r="K274"/>
      <c r="L274" s="6"/>
      <c r="Q274"/>
    </row>
    <row r="275" spans="11:17">
      <c r="K275"/>
    </row>
    <row r="276" spans="11:17">
      <c r="K276"/>
    </row>
    <row r="277" spans="11:17">
      <c r="K277"/>
    </row>
    <row r="278" spans="11:17">
      <c r="K278"/>
    </row>
    <row r="279" spans="11:17">
      <c r="K279"/>
    </row>
    <row r="280" spans="11:17">
      <c r="K280"/>
    </row>
    <row r="281" spans="11:17">
      <c r="K281"/>
    </row>
    <row r="282" spans="11:17">
      <c r="K282"/>
    </row>
    <row r="283" spans="11:17">
      <c r="K283"/>
    </row>
  </sheetData>
  <mergeCells count="29">
    <mergeCell ref="A184:C184"/>
    <mergeCell ref="A1:F1"/>
    <mergeCell ref="N2:Q2"/>
    <mergeCell ref="C77:D77"/>
    <mergeCell ref="A77:B77"/>
    <mergeCell ref="A79:B79"/>
    <mergeCell ref="H79:I79"/>
    <mergeCell ref="G77:H77"/>
    <mergeCell ref="H55:N55"/>
    <mergeCell ref="G167:H167"/>
    <mergeCell ref="Q167:R167"/>
    <mergeCell ref="C78:D78"/>
    <mergeCell ref="T33:AE33"/>
    <mergeCell ref="A167:B167"/>
    <mergeCell ref="C101:D101"/>
    <mergeCell ref="A101:B101"/>
    <mergeCell ref="D160:E160"/>
    <mergeCell ref="D161:E161"/>
    <mergeCell ref="A102:B102"/>
    <mergeCell ref="C102:D102"/>
    <mergeCell ref="C167:E167"/>
    <mergeCell ref="H96:L96"/>
    <mergeCell ref="H162:L162"/>
    <mergeCell ref="B103:C103"/>
    <mergeCell ref="AF227:AG227"/>
    <mergeCell ref="AF223:AG223"/>
    <mergeCell ref="AF224:AG224"/>
    <mergeCell ref="AF225:AG225"/>
    <mergeCell ref="AF226:AG226"/>
  </mergeCells>
  <dataValidations disablePrompts="1" count="1">
    <dataValidation type="list" allowBlank="1" showInputMessage="1" showErrorMessage="1" sqref="C200">
      <formula1>appelation</formula1>
    </dataValidation>
  </dataValidations>
  <pageMargins left="0.25" right="0.25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175"/>
  <sheetViews>
    <sheetView topLeftCell="A16" workbookViewId="0">
      <selection activeCell="M5" sqref="M5"/>
    </sheetView>
  </sheetViews>
  <sheetFormatPr baseColWidth="10" defaultRowHeight="15.75"/>
  <cols>
    <col min="1" max="1" width="5.42578125" style="810" customWidth="1"/>
    <col min="2" max="2" width="8" style="737" customWidth="1"/>
    <col min="3" max="3" width="8.28515625" style="737" customWidth="1"/>
    <col min="4" max="4" width="8.85546875" style="737" customWidth="1"/>
    <col min="5" max="5" width="11.7109375" style="737" customWidth="1"/>
    <col min="6" max="6" width="14" style="737" customWidth="1"/>
    <col min="7" max="7" width="12.28515625" style="737" customWidth="1"/>
    <col min="8" max="8" width="12.5703125" style="737" customWidth="1"/>
    <col min="9" max="9" width="4" style="737" customWidth="1"/>
    <col min="10" max="10" width="11.42578125" style="737"/>
    <col min="11" max="11" width="12.28515625" style="737" customWidth="1"/>
    <col min="12" max="14" width="11.42578125" style="737"/>
    <col min="15" max="15" width="11.42578125" style="737" customWidth="1"/>
    <col min="16" max="16384" width="11.42578125" style="737"/>
  </cols>
  <sheetData>
    <row r="1" spans="1:13">
      <c r="A1" s="1502"/>
    </row>
    <row r="2" spans="1:13" ht="18.75">
      <c r="A2" s="1502"/>
      <c r="B2" s="1752" t="s">
        <v>1882</v>
      </c>
      <c r="C2" s="1758"/>
      <c r="D2" s="1758"/>
      <c r="E2" s="1758"/>
      <c r="F2" s="1758"/>
      <c r="G2" s="1754" t="s">
        <v>1741</v>
      </c>
      <c r="H2" s="1755"/>
    </row>
    <row r="3" spans="1:13" ht="19.5" customHeight="1">
      <c r="A3" s="1502"/>
      <c r="B3" s="1553"/>
      <c r="C3" s="1553"/>
      <c r="D3" s="1554"/>
      <c r="E3" s="1756"/>
      <c r="F3" s="1757"/>
      <c r="G3" s="1590" t="s">
        <v>12</v>
      </c>
      <c r="H3" s="1591" t="s">
        <v>1881</v>
      </c>
      <c r="K3" s="1555"/>
      <c r="L3" s="1555"/>
      <c r="M3" s="1555"/>
    </row>
    <row r="4" spans="1:13" ht="19.5" customHeight="1">
      <c r="A4" s="1502"/>
      <c r="B4" s="1553"/>
      <c r="C4" s="1752" t="s">
        <v>1875</v>
      </c>
      <c r="D4" s="1753"/>
      <c r="E4" s="1756" t="s">
        <v>1883</v>
      </c>
      <c r="F4" s="1757"/>
      <c r="G4" s="1590"/>
      <c r="H4" s="1591" t="s">
        <v>65</v>
      </c>
      <c r="K4" s="1555"/>
      <c r="L4" s="1555"/>
      <c r="M4" s="1555"/>
    </row>
    <row r="5" spans="1:13" ht="45">
      <c r="A5" s="1502"/>
      <c r="B5" s="904" t="s">
        <v>1494</v>
      </c>
      <c r="C5" s="904" t="s">
        <v>1493</v>
      </c>
      <c r="D5" s="904" t="s">
        <v>1492</v>
      </c>
      <c r="E5" s="4"/>
      <c r="F5" s="4"/>
      <c r="G5" s="1581" t="s">
        <v>1879</v>
      </c>
      <c r="H5" s="1582" t="s">
        <v>1880</v>
      </c>
    </row>
    <row r="6" spans="1:13" s="1550" customFormat="1">
      <c r="A6" s="1502"/>
      <c r="B6" s="1560"/>
      <c r="C6" s="1560" t="s">
        <v>90</v>
      </c>
      <c r="D6" s="1560" t="s">
        <v>86</v>
      </c>
      <c r="E6" s="1556"/>
      <c r="F6" s="1557"/>
      <c r="G6" s="1560" t="s">
        <v>90</v>
      </c>
      <c r="H6" s="1560" t="s">
        <v>86</v>
      </c>
    </row>
    <row r="7" spans="1:13" s="1550" customFormat="1">
      <c r="A7" s="1502"/>
      <c r="B7" s="1583"/>
      <c r="C7" s="1583"/>
      <c r="D7" s="1583">
        <v>700</v>
      </c>
      <c r="E7" s="1583" t="s">
        <v>1876</v>
      </c>
      <c r="F7" s="1584" t="str">
        <f>IF(('Val-Départ'!G13=""),"",VLOOKUP('Val-Départ'!G13,'Val-Départ'!G13:L13,1,FALSE))</f>
        <v>Emballage</v>
      </c>
      <c r="G7" s="1583"/>
      <c r="H7" s="1584">
        <f>IF(OR('Val-Départ'!G13="", 'Val-Départ'!G13=" note de crédit" ),"",VLOOKUP('Val-Départ'!G13,'Val-Départ'!G13:AA13,8,FALSE))</f>
        <v>1239.47</v>
      </c>
      <c r="K7" s="715"/>
      <c r="L7" s="1552"/>
    </row>
    <row r="8" spans="1:13" s="1550" customFormat="1">
      <c r="A8" s="1502"/>
      <c r="B8" s="1184"/>
      <c r="C8" s="1184"/>
      <c r="D8" s="1184">
        <v>4510</v>
      </c>
      <c r="E8" s="1184" t="s">
        <v>1877</v>
      </c>
      <c r="F8" s="1184" t="s">
        <v>30</v>
      </c>
      <c r="G8" s="1184"/>
      <c r="H8" s="1585">
        <f>IF(('Val-Départ'!G13=""),"",VLOOKUP('Val-Départ'!G13,'Val-Départ'!G13:AA13,15,FALSE))</f>
        <v>260.28870000000001</v>
      </c>
      <c r="K8" s="1552"/>
      <c r="L8" s="1552"/>
    </row>
    <row r="9" spans="1:13" s="1550" customFormat="1">
      <c r="A9" s="1502"/>
      <c r="B9" s="1586" t="str">
        <f>IF(('Val-Départ'!B13=""),"",VLOOKUP('Val-Départ'!B13,'Val-Départ'!B13:F13,1,FALSE))</f>
        <v>C0001</v>
      </c>
      <c r="C9" s="1587">
        <v>400</v>
      </c>
      <c r="D9" s="1587"/>
      <c r="E9" s="1587" t="s">
        <v>1878</v>
      </c>
      <c r="F9" s="1586" t="str">
        <f>IF(('Val-Départ'!B13=""),"",VLOOKUP('Val-Départ'!B13,'Val-Départ'!B13:F13,2,FALSE))</f>
        <v>Nicolas</v>
      </c>
      <c r="G9" s="1586">
        <f>IF(OR('Val-Départ'!G13="", 'Val-Départ'!G13="note de crédit" ),"0",VLOOKUP('Val-Départ'!G13,'Val-Départ'!G13:AA13,14,FALSE))</f>
        <v>1499.7587000000001</v>
      </c>
      <c r="H9" s="1587"/>
      <c r="J9" s="1550">
        <v>13</v>
      </c>
      <c r="L9" s="1552"/>
    </row>
    <row r="10" spans="1:13" s="1550" customFormat="1">
      <c r="A10" s="1502"/>
      <c r="B10" s="1588"/>
      <c r="C10" s="1583"/>
      <c r="D10" s="1583"/>
      <c r="E10" s="1583" t="s">
        <v>1876</v>
      </c>
      <c r="F10" s="1584" t="str">
        <f>IF(('Val-Départ'!G14=""),"",VLOOKUP('Val-Départ'!G14,'Val-Départ'!G14:L14,1,FALSE))</f>
        <v>Marchandise</v>
      </c>
      <c r="G10" s="1583"/>
      <c r="H10" s="1584">
        <f>IF(OR('Val-Départ'!G14="", 'Val-Départ'!G14=" note de crédit" ),"",VLOOKUP('Val-Départ'!G14,'Val-Départ'!G14:AA14,8,FALSE))</f>
        <v>921.92</v>
      </c>
      <c r="J10" s="1550">
        <v>14</v>
      </c>
      <c r="L10" s="1552"/>
    </row>
    <row r="11" spans="1:13" s="1550" customFormat="1">
      <c r="A11" s="1502"/>
      <c r="B11" s="1589"/>
      <c r="C11" s="1184"/>
      <c r="D11" s="1184"/>
      <c r="E11" s="1184" t="s">
        <v>1877</v>
      </c>
      <c r="F11" s="1184" t="s">
        <v>30</v>
      </c>
      <c r="G11" s="1184"/>
      <c r="H11" s="1585">
        <f>IF(('Val-Départ'!G14=""),"",VLOOKUP('Val-Départ'!G14,'Val-Départ'!G14:AA14,15,FALSE))</f>
        <v>193.60319999999999</v>
      </c>
      <c r="J11" s="1550">
        <v>15</v>
      </c>
      <c r="L11" s="1552"/>
    </row>
    <row r="12" spans="1:13" s="1550" customFormat="1">
      <c r="A12" s="1502"/>
      <c r="B12" s="1586" t="str">
        <f>IF(('Val-Départ'!B14=""),"",VLOOKUP('Val-Départ'!B14,'Val-Départ'!B14:F14,1,FALSE))</f>
        <v>C0002</v>
      </c>
      <c r="C12" s="1587"/>
      <c r="D12" s="1587"/>
      <c r="E12" s="1587" t="s">
        <v>1878</v>
      </c>
      <c r="F12" s="1586" t="str">
        <f>IF(('Val-Départ'!B14=""),"",VLOOKUP('Val-Départ'!B14,'Val-Départ'!B14:F14,2,FALSE))</f>
        <v>Vienneau</v>
      </c>
      <c r="G12" s="1586">
        <f>IF(OR('Val-Départ'!G14="", 'Val-Départ'!G14="note de crédit" ),"0",VLOOKUP('Val-Départ'!G14,'Val-Départ'!G14:AA14,14,FALSE))</f>
        <v>1115.5231999999999</v>
      </c>
      <c r="H12" s="1587"/>
      <c r="J12" s="1550">
        <v>16</v>
      </c>
      <c r="L12" s="1552"/>
    </row>
    <row r="13" spans="1:13" s="1550" customFormat="1">
      <c r="A13" s="1502"/>
      <c r="B13" s="1588"/>
      <c r="C13" s="1583"/>
      <c r="D13" s="1583"/>
      <c r="E13" s="1583" t="s">
        <v>1876</v>
      </c>
      <c r="F13" s="1584">
        <f>IF(('Val-Départ'!G15=""),"",VLOOKUP('Val-Départ'!G15,'Val-Départ'!G15:L15,1,FALSE))</f>
        <v>0</v>
      </c>
      <c r="G13" s="1583"/>
      <c r="H13" s="1584">
        <f>IF(OR('Val-Départ'!G15="", 'Val-Départ'!G15=" note de crédit" ),"",VLOOKUP('Val-Départ'!G15,'Val-Départ'!G15:AA15,8,FALSE))</f>
        <v>0</v>
      </c>
      <c r="J13" s="1550">
        <v>17</v>
      </c>
      <c r="L13" s="1552"/>
    </row>
    <row r="14" spans="1:13" s="1550" customFormat="1">
      <c r="A14" s="1502"/>
      <c r="B14" s="1589"/>
      <c r="C14" s="1184"/>
      <c r="D14" s="1184"/>
      <c r="E14" s="1184" t="s">
        <v>1877</v>
      </c>
      <c r="F14" s="1184" t="s">
        <v>30</v>
      </c>
      <c r="G14" s="1184"/>
      <c r="H14" s="1585">
        <f>IF(('Val-Départ'!G15=""),"",VLOOKUP('Val-Départ'!G15,'Val-Départ'!G15:AA15,15,FALSE))</f>
        <v>0</v>
      </c>
      <c r="J14" s="1550">
        <v>18</v>
      </c>
      <c r="L14" s="1552"/>
    </row>
    <row r="15" spans="1:13" s="1550" customFormat="1">
      <c r="A15" s="1502"/>
      <c r="B15" s="1586" t="str">
        <f>IF(('Val-Départ'!B15=""),"",VLOOKUP('Val-Départ'!B15,'Val-Départ'!B15:F15,1,FALSE))</f>
        <v>C0003</v>
      </c>
      <c r="C15" s="1587"/>
      <c r="D15" s="1587"/>
      <c r="E15" s="1587" t="s">
        <v>1878</v>
      </c>
      <c r="F15" s="1586" t="str">
        <f>IF(('Val-Départ'!B15=""),"",VLOOKUP('Val-Départ'!B15,'Val-Départ'!B15:F15,2,FALSE))</f>
        <v>Jacques</v>
      </c>
      <c r="G15" s="1586">
        <f>IF(OR('Val-Départ'!G15="", 'Val-Départ'!G15="note de crédit" ),"0",VLOOKUP('Val-Départ'!G15,'Val-Départ'!G15:AA15,14,FALSE))</f>
        <v>0</v>
      </c>
      <c r="H15" s="1587"/>
      <c r="J15" s="1550">
        <v>19</v>
      </c>
      <c r="L15" s="1552"/>
    </row>
    <row r="16" spans="1:13" s="1550" customFormat="1">
      <c r="A16" s="1502"/>
      <c r="B16" s="1588"/>
      <c r="C16" s="1583"/>
      <c r="D16" s="1583"/>
      <c r="E16" s="1583" t="s">
        <v>1876</v>
      </c>
      <c r="F16" s="1584">
        <f>IF(('Val-Départ'!G16=""),"",VLOOKUP('Val-Départ'!G16,'Val-Départ'!G16:L16,1,FALSE))</f>
        <v>0</v>
      </c>
      <c r="G16" s="1583"/>
      <c r="H16" s="1584">
        <f>IF(OR('Val-Départ'!G16="", 'Val-Départ'!G16=" note de crédit" ),"",VLOOKUP('Val-Départ'!G16,'Val-Départ'!G16:AA16,8,FALSE))</f>
        <v>0</v>
      </c>
      <c r="J16" s="1550">
        <v>20</v>
      </c>
      <c r="L16" s="1552"/>
    </row>
    <row r="17" spans="1:12" s="1550" customFormat="1">
      <c r="A17" s="1502"/>
      <c r="B17" s="1589"/>
      <c r="C17" s="1184"/>
      <c r="D17" s="1184"/>
      <c r="E17" s="1184" t="s">
        <v>1877</v>
      </c>
      <c r="F17" s="1184" t="s">
        <v>30</v>
      </c>
      <c r="G17" s="1184"/>
      <c r="H17" s="1585">
        <f>IF(('Val-Départ'!G16=""),"",VLOOKUP('Val-Départ'!G16,'Val-Départ'!G16:AA16,15,FALSE))</f>
        <v>0</v>
      </c>
      <c r="J17" s="1550">
        <v>21</v>
      </c>
      <c r="L17" s="1552"/>
    </row>
    <row r="18" spans="1:12" s="1550" customFormat="1">
      <c r="A18" s="1502"/>
      <c r="B18" s="1586" t="str">
        <f>IF(('Val-Départ'!B16=""),"",VLOOKUP('Val-Départ'!B16,'Val-Départ'!B16:F16,1,FALSE))</f>
        <v/>
      </c>
      <c r="C18" s="1587"/>
      <c r="D18" s="1587"/>
      <c r="E18" s="1587" t="s">
        <v>1878</v>
      </c>
      <c r="F18" s="1586" t="str">
        <f>IF(('Val-Départ'!B16=""),"",VLOOKUP('Val-Départ'!B16,'Val-Départ'!B16:F16,2,FALSE))</f>
        <v/>
      </c>
      <c r="G18" s="1586">
        <f>IF(OR('Val-Départ'!G16="", 'Val-Départ'!G16="note de crédit" ),"0",VLOOKUP('Val-Départ'!G16,'Val-Départ'!G16:AA16,14,FALSE))</f>
        <v>0</v>
      </c>
      <c r="H18" s="1587"/>
      <c r="J18" s="1550">
        <v>22</v>
      </c>
      <c r="L18" s="1552"/>
    </row>
    <row r="19" spans="1:12" s="1550" customFormat="1">
      <c r="A19" s="1502"/>
      <c r="B19" s="1588"/>
      <c r="C19" s="1583"/>
      <c r="D19" s="1583"/>
      <c r="E19" s="1583" t="s">
        <v>1876</v>
      </c>
      <c r="F19" s="1584" t="str">
        <f>IF(('Val-Départ'!G17=""),"",VLOOKUP('Val-Départ'!G17,'Val-Départ'!G17:L17,1,FALSE))</f>
        <v>Marchandise</v>
      </c>
      <c r="G19" s="1583"/>
      <c r="H19" s="1584">
        <f>IF(OR('Val-Départ'!G17="", 'Val-Départ'!G17=" note de crédit" ),"",VLOOKUP('Val-Départ'!G17,'Val-Départ'!G17:AA17,8,FALSE))</f>
        <v>0</v>
      </c>
      <c r="J19" s="1550">
        <v>23</v>
      </c>
      <c r="L19" s="1552"/>
    </row>
    <row r="20" spans="1:12" s="1550" customFormat="1">
      <c r="A20" s="1502"/>
      <c r="B20" s="1589"/>
      <c r="C20" s="1184"/>
      <c r="D20" s="1184"/>
      <c r="E20" s="1184" t="s">
        <v>1877</v>
      </c>
      <c r="F20" s="1184" t="s">
        <v>30</v>
      </c>
      <c r="G20" s="1184"/>
      <c r="H20" s="1585">
        <f>IF(('Val-Départ'!G17=""),"",VLOOKUP('Val-Départ'!G17,'Val-Départ'!G17:AA17,15,FALSE))</f>
        <v>0</v>
      </c>
    </row>
    <row r="21" spans="1:12" s="1550" customFormat="1">
      <c r="A21" s="1502"/>
      <c r="B21" s="1586" t="str">
        <f>IF(('Val-Départ'!B17=""),"",VLOOKUP('Val-Départ'!B17,'Val-Départ'!B17:F17,1,FALSE))</f>
        <v/>
      </c>
      <c r="C21" s="1587"/>
      <c r="D21" s="1587"/>
      <c r="E21" s="1587" t="s">
        <v>1878</v>
      </c>
      <c r="F21" s="1586" t="str">
        <f>IF(('Val-Départ'!B17=""),"",VLOOKUP('Val-Départ'!B17,'Val-Départ'!B17:F17,2,FALSE))</f>
        <v/>
      </c>
      <c r="G21" s="1586">
        <f>IF(OR('Val-Départ'!G17="", 'Val-Départ'!G17="note de crédit" ),"0",VLOOKUP('Val-Départ'!G17,'Val-Départ'!G17:AA17,14,FALSE))</f>
        <v>0</v>
      </c>
      <c r="H21" s="1587"/>
    </row>
    <row r="22" spans="1:12">
      <c r="A22" s="1289"/>
      <c r="B22" s="1588"/>
      <c r="C22" s="1583"/>
      <c r="D22" s="1583"/>
      <c r="E22" s="1583" t="s">
        <v>1876</v>
      </c>
      <c r="F22" s="1584">
        <f>IF(('Val-Départ'!G18=""),"",VLOOKUP('Val-Départ'!G18,'Val-Départ'!G18:L18,1,FALSE))</f>
        <v>0</v>
      </c>
      <c r="G22" s="1583"/>
      <c r="H22" s="1584">
        <f>IF(OR('Val-Départ'!G18="", 'Val-Départ'!G18=" note de crédit" ),"",VLOOKUP('Val-Départ'!G18,'Val-Départ'!G18:AA18,8,FALSE))</f>
        <v>0</v>
      </c>
    </row>
    <row r="23" spans="1:12">
      <c r="A23" s="1502"/>
      <c r="B23" s="1589"/>
      <c r="C23" s="1184"/>
      <c r="D23" s="1184"/>
      <c r="E23" s="1184" t="s">
        <v>1877</v>
      </c>
      <c r="F23" s="1184" t="s">
        <v>30</v>
      </c>
      <c r="G23" s="1184"/>
      <c r="H23" s="1585">
        <f>IF(('Val-Départ'!G18=""),"",VLOOKUP('Val-Départ'!G18,'Val-Départ'!G18:AA18,15,FALSE))</f>
        <v>0</v>
      </c>
    </row>
    <row r="24" spans="1:12">
      <c r="A24" s="1289"/>
      <c r="B24" s="1586" t="str">
        <f>IF(('Val-Départ'!B18=""),"",VLOOKUP('Val-Départ'!B18,'Val-Départ'!B18:F18,1,FALSE))</f>
        <v/>
      </c>
      <c r="C24" s="1587"/>
      <c r="D24" s="1587"/>
      <c r="E24" s="1587" t="s">
        <v>1878</v>
      </c>
      <c r="F24" s="1586" t="str">
        <f>IF(('Val-Départ'!B18=""),"",VLOOKUP('Val-Départ'!B18,'Val-Départ'!B18:F18,2,FALSE))</f>
        <v/>
      </c>
      <c r="G24" s="1586">
        <f>IF(OR('Val-Départ'!G18="", 'Val-Départ'!G18="note de crédit" ),"0",VLOOKUP('Val-Départ'!G18,'Val-Départ'!G18:AA18,14,FALSE))</f>
        <v>0</v>
      </c>
      <c r="H24" s="1587"/>
    </row>
    <row r="25" spans="1:12">
      <c r="A25" s="1502"/>
      <c r="B25" s="1588"/>
      <c r="C25" s="1583"/>
      <c r="D25" s="1583"/>
      <c r="E25" s="1583"/>
      <c r="F25" s="1584">
        <f>IF(('Val-Départ'!G19=""),"",VLOOKUP('Val-Départ'!G19,'Val-Départ'!G19:L19,1,FALSE))</f>
        <v>0</v>
      </c>
      <c r="G25" s="1583"/>
      <c r="H25" s="1584">
        <f>IF(OR('Val-Départ'!G19="", 'Val-Départ'!G19=" note de crédit" ),"",VLOOKUP('Val-Départ'!G19,'Val-Départ'!G19:AA19,8,FALSE))</f>
        <v>0</v>
      </c>
    </row>
    <row r="26" spans="1:12" s="1551" customFormat="1">
      <c r="A26" s="1502"/>
      <c r="B26" s="1589"/>
      <c r="C26" s="1184"/>
      <c r="D26" s="1184"/>
      <c r="E26" s="1184" t="s">
        <v>1877</v>
      </c>
      <c r="F26" s="1184" t="s">
        <v>30</v>
      </c>
      <c r="G26" s="1184"/>
      <c r="H26" s="1585">
        <f>IF(('Val-Départ'!G19=""),"",VLOOKUP('Val-Départ'!G19,'Val-Départ'!G19:AA19,15,FALSE))</f>
        <v>0</v>
      </c>
    </row>
    <row r="27" spans="1:12" s="1551" customFormat="1">
      <c r="A27" s="1502"/>
      <c r="B27" s="1586" t="str">
        <f>IF(('Val-Départ'!B19=""),"",VLOOKUP('Val-Départ'!B19,'Val-Départ'!B19:F19,1,FALSE))</f>
        <v/>
      </c>
      <c r="C27" s="1587"/>
      <c r="D27" s="1587"/>
      <c r="E27" s="1587" t="s">
        <v>1878</v>
      </c>
      <c r="F27" s="1586" t="str">
        <f>IF(('Val-Départ'!B19=""),"",VLOOKUP('Val-Départ'!B19,'Val-Départ'!B19:F19,2,FALSE))</f>
        <v/>
      </c>
      <c r="G27" s="1586">
        <f>IF(OR('Val-Départ'!G19="", 'Val-Départ'!G19="note de crédit" ),"0",VLOOKUP('Val-Départ'!G19,'Val-Départ'!G19:AA19,14,FALSE))</f>
        <v>0</v>
      </c>
      <c r="H27" s="1587"/>
    </row>
    <row r="28" spans="1:12">
      <c r="A28" s="1502"/>
      <c r="B28" s="1588"/>
      <c r="C28" s="1583"/>
      <c r="D28" s="1583"/>
      <c r="E28" s="1583"/>
      <c r="F28" s="1584">
        <f>IF(('Val-Départ'!G20=""),"",VLOOKUP('Val-Départ'!G20,'Val-Départ'!G20:L20,1,FALSE))</f>
        <v>0</v>
      </c>
      <c r="G28" s="1583"/>
      <c r="H28" s="1584">
        <f>IF(OR('Val-Départ'!G20="", 'Val-Départ'!G20=" note de crédit" ),"",VLOOKUP('Val-Départ'!G20,'Val-Départ'!G20:AA20,8,FALSE))</f>
        <v>0</v>
      </c>
    </row>
    <row r="29" spans="1:12" s="1551" customFormat="1">
      <c r="A29" s="1502"/>
      <c r="B29" s="1589"/>
      <c r="C29" s="1184"/>
      <c r="D29" s="1184"/>
      <c r="E29" s="1184" t="s">
        <v>1877</v>
      </c>
      <c r="F29" s="1184" t="s">
        <v>30</v>
      </c>
      <c r="G29" s="1184"/>
      <c r="H29" s="1585">
        <f>IF(('Val-Départ'!G20=""),"",VLOOKUP('Val-Départ'!G20,'Val-Départ'!G20:AA20,15,FALSE))</f>
        <v>0</v>
      </c>
    </row>
    <row r="30" spans="1:12" s="1551" customFormat="1">
      <c r="A30" s="1502"/>
      <c r="B30" s="1586" t="str">
        <f>IF(('Val-Départ'!B20=""),"",VLOOKUP('Val-Départ'!B20,'Val-Départ'!B20:F20,1,FALSE))</f>
        <v/>
      </c>
      <c r="C30" s="1587"/>
      <c r="D30" s="1587"/>
      <c r="E30" s="1587" t="s">
        <v>1878</v>
      </c>
      <c r="F30" s="1586" t="str">
        <f>IF(('Val-Départ'!B20=""),"",VLOOKUP('Val-Départ'!B20,'Val-Départ'!B20:F20,2,FALSE))</f>
        <v/>
      </c>
      <c r="G30" s="1586">
        <f>IF(OR('Val-Départ'!G20="", 'Val-Départ'!G20="note de crédit" ),"0",VLOOKUP('Val-Départ'!G20,'Val-Départ'!G20:AA20,14,FALSE))</f>
        <v>0</v>
      </c>
      <c r="H30" s="1587"/>
    </row>
    <row r="31" spans="1:12">
      <c r="A31" s="1502"/>
      <c r="B31" s="1588"/>
      <c r="C31" s="1583"/>
      <c r="D31" s="1583"/>
      <c r="E31" s="1583"/>
      <c r="F31" s="1584">
        <f>IF(('Val-Départ'!G21=""),"",VLOOKUP('Val-Départ'!G21,'Val-Départ'!G21:L21,1,FALSE))</f>
        <v>0</v>
      </c>
      <c r="G31" s="1583"/>
      <c r="H31" s="1584">
        <f>IF(OR('Val-Départ'!G21="", 'Val-Départ'!G21=" note de crédit" ),"",VLOOKUP('Val-Départ'!G21,'Val-Départ'!G21:AA21,8,FALSE))</f>
        <v>0</v>
      </c>
    </row>
    <row r="32" spans="1:12" s="1551" customFormat="1">
      <c r="A32" s="1502"/>
      <c r="B32" s="1589"/>
      <c r="C32" s="1184"/>
      <c r="D32" s="1184"/>
      <c r="E32" s="1184" t="s">
        <v>1877</v>
      </c>
      <c r="F32" s="1184" t="s">
        <v>30</v>
      </c>
      <c r="G32" s="1184"/>
      <c r="H32" s="1585">
        <f>IF(('Val-Départ'!G21=""),"",VLOOKUP('Val-Départ'!G21,'Val-Départ'!G21:AA21,15,FALSE))</f>
        <v>0</v>
      </c>
    </row>
    <row r="33" spans="1:11" s="1551" customFormat="1">
      <c r="A33" s="1502"/>
      <c r="B33" s="1586" t="str">
        <f>IF(('Val-Départ'!B21=""),"",VLOOKUP('Val-Départ'!B21,'Val-Départ'!B21:F21,1,FALSE))</f>
        <v/>
      </c>
      <c r="C33" s="1587"/>
      <c r="D33" s="1587"/>
      <c r="E33" s="1587" t="s">
        <v>1878</v>
      </c>
      <c r="F33" s="1586" t="str">
        <f>IF(('Val-Départ'!B21=""),"",VLOOKUP('Val-Départ'!B21,'Val-Départ'!B21:F21,2,FALSE))</f>
        <v/>
      </c>
      <c r="G33" s="1586">
        <f>IF(OR('Val-Départ'!G21="", 'Val-Départ'!G21="note de crédit" ),"0",VLOOKUP('Val-Départ'!G21,'Val-Départ'!G21:AA21,14,FALSE))</f>
        <v>0</v>
      </c>
      <c r="H33" s="1587"/>
    </row>
    <row r="34" spans="1:11">
      <c r="A34" s="1502">
        <v>22</v>
      </c>
      <c r="B34" s="1588"/>
      <c r="C34" s="1583"/>
      <c r="D34" s="1583"/>
      <c r="E34" s="1583"/>
      <c r="F34" s="1584">
        <f>IF(('Val-Départ'!G22=""),"",VLOOKUP('Val-Départ'!G22,'Val-Départ'!G22:L22,1,FALSE))</f>
        <v>0</v>
      </c>
      <c r="G34" s="1583"/>
      <c r="H34" s="1584">
        <f>IF(OR('Val-Départ'!G22="", 'Val-Départ'!G22=" note de crédit" ),"",VLOOKUP('Val-Départ'!G22,'Val-Départ'!G22:AA22,8,FALSE))</f>
        <v>0</v>
      </c>
    </row>
    <row r="35" spans="1:11">
      <c r="A35" s="1502"/>
      <c r="B35" s="1589"/>
      <c r="C35" s="1184"/>
      <c r="D35" s="1184"/>
      <c r="E35" s="1184" t="s">
        <v>1877</v>
      </c>
      <c r="F35" s="1184" t="s">
        <v>30</v>
      </c>
      <c r="G35" s="1184"/>
      <c r="H35" s="1585">
        <f>IF(('Val-Départ'!G22=""),"",VLOOKUP('Val-Départ'!G22,'Val-Départ'!G22:AA22,15,FALSE))</f>
        <v>0</v>
      </c>
    </row>
    <row r="36" spans="1:11">
      <c r="A36" s="1502"/>
      <c r="B36" s="1586" t="str">
        <f>IF(('Val-Départ'!B22=""),"",VLOOKUP('Val-Départ'!B22,'Val-Départ'!B22:F22,1,FALSE))</f>
        <v/>
      </c>
      <c r="C36" s="1587"/>
      <c r="D36" s="1587"/>
      <c r="E36" s="1587" t="s">
        <v>1878</v>
      </c>
      <c r="F36" s="1586" t="str">
        <f>IF(('Val-Départ'!B22=""),"",VLOOKUP('Val-Départ'!B22,'Val-Départ'!B22:F22,2,FALSE))</f>
        <v/>
      </c>
      <c r="G36" s="1586">
        <f>IF(OR('Val-Départ'!G22="", 'Val-Départ'!G22="note de crédit" ),"0",VLOOKUP('Val-Départ'!G22,'Val-Départ'!G22:AA22,14,FALSE))</f>
        <v>0</v>
      </c>
      <c r="H36" s="1587"/>
    </row>
    <row r="37" spans="1:11">
      <c r="A37" s="32">
        <v>23</v>
      </c>
      <c r="B37" s="1588"/>
      <c r="C37" s="1583"/>
      <c r="D37" s="1583"/>
      <c r="E37" s="1583"/>
      <c r="F37" s="1584">
        <f>IF(('Val-Départ'!G23=""),"",VLOOKUP('Val-Départ'!G23,'Val-Départ'!G23:L23,1,FALSE))</f>
        <v>0</v>
      </c>
      <c r="G37" s="1583"/>
      <c r="H37" s="1584">
        <f>IF(OR('Val-Départ'!G23="", 'Val-Départ'!G23=" note de crédit" ),"",VLOOKUP('Val-Départ'!G23,'Val-Départ'!G23:AA23,8,FALSE))</f>
        <v>0</v>
      </c>
    </row>
    <row r="38" spans="1:11">
      <c r="A38" s="1502"/>
      <c r="B38" s="1589"/>
      <c r="C38" s="1184"/>
      <c r="D38" s="1184"/>
      <c r="E38" s="1184" t="s">
        <v>1877</v>
      </c>
      <c r="F38" s="1184" t="s">
        <v>30</v>
      </c>
      <c r="G38" s="1184"/>
      <c r="H38" s="1585">
        <f>IF(('Val-Départ'!G23=""),"",VLOOKUP('Val-Départ'!G23,'Val-Départ'!G23:AA23,15,FALSE))</f>
        <v>0</v>
      </c>
    </row>
    <row r="39" spans="1:11">
      <c r="A39" s="1502"/>
      <c r="B39" s="1586" t="str">
        <f>IF(('Val-Départ'!B23=""),"",VLOOKUP('Val-Départ'!B23,'Val-Départ'!B23:F23,1,FALSE))</f>
        <v/>
      </c>
      <c r="C39" s="1587"/>
      <c r="D39" s="1587"/>
      <c r="E39" s="1587" t="s">
        <v>1878</v>
      </c>
      <c r="F39" s="1586" t="str">
        <f>IF(('Val-Départ'!B23=""),"",VLOOKUP('Val-Départ'!B23,'Val-Départ'!B23:F23,2,FALSE))</f>
        <v/>
      </c>
      <c r="G39" s="1586">
        <f>IF(OR('Val-Départ'!G23="", 'Val-Départ'!G23="note de crédit" ),"0",VLOOKUP('Val-Départ'!G23,'Val-Départ'!G23:AA23,14,FALSE))</f>
        <v>0</v>
      </c>
      <c r="H39" s="1587"/>
    </row>
    <row r="40" spans="1:11" s="4" customFormat="1">
      <c r="A40" s="32"/>
      <c r="B40" s="706"/>
      <c r="C40" s="1558"/>
      <c r="D40" s="1558"/>
      <c r="E40" s="1558"/>
      <c r="F40" s="1558"/>
      <c r="G40" s="1573">
        <f>SUM(G9,G12,G15,G18,G21,G24,G27,G30,G33,G36,G39)</f>
        <v>2615.2819</v>
      </c>
      <c r="H40" s="168">
        <f>SUM(H7,H10,H13,H16,H19,H22,H25,H28,H31,H34,H37)</f>
        <v>2161.39</v>
      </c>
      <c r="I40" s="1616" t="s">
        <v>11</v>
      </c>
      <c r="J40" s="1616"/>
    </row>
    <row r="41" spans="1:11" s="4" customFormat="1">
      <c r="A41" s="32"/>
      <c r="B41" s="706"/>
      <c r="C41" s="1558"/>
      <c r="D41" s="1558"/>
      <c r="E41" s="1558"/>
      <c r="F41" s="1558"/>
      <c r="H41" s="1573">
        <f>SUM(H8,H11,H14,H17,H20,H23,H26,H29,H32,H35,H38)</f>
        <v>453.89189999999996</v>
      </c>
      <c r="I41" s="1616" t="s">
        <v>30</v>
      </c>
      <c r="J41" s="1616"/>
    </row>
    <row r="42" spans="1:11" s="4" customFormat="1">
      <c r="A42" s="32"/>
      <c r="B42" s="706"/>
      <c r="C42" s="1558"/>
      <c r="D42" s="1558"/>
      <c r="E42" s="1558"/>
      <c r="F42" s="1558"/>
      <c r="G42" s="1573">
        <f>SUM(G9:G39)</f>
        <v>2615.2819</v>
      </c>
      <c r="H42" s="1573">
        <f>SUM(H7:H39)</f>
        <v>2615.2819</v>
      </c>
      <c r="I42" s="1616" t="s">
        <v>1884</v>
      </c>
      <c r="J42" s="1616"/>
    </row>
    <row r="43" spans="1:11">
      <c r="A43" s="1502"/>
      <c r="B43" s="706"/>
      <c r="C43" s="1558"/>
      <c r="D43" s="1558"/>
      <c r="E43" s="1558"/>
      <c r="F43" s="1558"/>
      <c r="G43" s="1558"/>
      <c r="H43" s="1558"/>
    </row>
    <row r="44" spans="1:11" s="21" customFormat="1">
      <c r="A44" s="1562"/>
      <c r="B44" s="1438"/>
      <c r="C44" s="1438"/>
      <c r="D44" s="1438"/>
      <c r="E44" s="1438"/>
      <c r="F44" s="1438"/>
      <c r="G44" s="1578"/>
      <c r="H44" s="1578"/>
    </row>
    <row r="45" spans="1:11" s="21" customFormat="1" ht="18.75" customHeight="1">
      <c r="A45" s="1562"/>
      <c r="B45" s="1175"/>
      <c r="C45" s="1175"/>
      <c r="D45" s="1175"/>
      <c r="E45" s="1579"/>
      <c r="F45" s="1579"/>
      <c r="G45" s="1574"/>
      <c r="H45" s="1175"/>
    </row>
    <row r="46" spans="1:11" s="21" customFormat="1">
      <c r="A46" s="1562"/>
      <c r="C46" s="661"/>
      <c r="D46" s="661"/>
      <c r="G46" s="715"/>
      <c r="J46" s="631"/>
      <c r="K46" s="631"/>
    </row>
    <row r="47" spans="1:11" s="21" customFormat="1">
      <c r="A47" s="1562"/>
      <c r="C47" s="661"/>
      <c r="D47" s="661"/>
      <c r="F47" s="896"/>
      <c r="G47" s="715"/>
    </row>
    <row r="48" spans="1:11" s="21" customFormat="1">
      <c r="A48" s="1562"/>
      <c r="C48" s="661"/>
      <c r="D48" s="661"/>
      <c r="F48" s="896"/>
      <c r="H48" s="715"/>
    </row>
    <row r="49" spans="1:8" s="21" customFormat="1">
      <c r="A49" s="1562"/>
      <c r="C49" s="661"/>
      <c r="D49" s="661"/>
      <c r="E49" s="1165"/>
      <c r="F49" s="896"/>
      <c r="G49" s="715"/>
      <c r="H49" s="715"/>
    </row>
    <row r="50" spans="1:8" s="21" customFormat="1">
      <c r="A50" s="1562"/>
      <c r="C50" s="661"/>
      <c r="D50" s="661"/>
      <c r="F50" s="715"/>
      <c r="G50" s="715"/>
      <c r="H50" s="715"/>
    </row>
    <row r="51" spans="1:8" s="21" customFormat="1">
      <c r="A51" s="1562"/>
      <c r="C51" s="661"/>
      <c r="D51" s="661"/>
      <c r="F51" s="896"/>
      <c r="G51" s="715"/>
      <c r="H51" s="715"/>
    </row>
    <row r="52" spans="1:8" s="21" customFormat="1">
      <c r="A52" s="1562"/>
      <c r="B52" s="1165"/>
      <c r="C52" s="661"/>
      <c r="D52" s="661"/>
      <c r="F52" s="896"/>
      <c r="G52" s="715"/>
      <c r="H52" s="715"/>
    </row>
    <row r="53" spans="1:8" s="21" customFormat="1">
      <c r="A53" s="1562"/>
      <c r="C53" s="661"/>
      <c r="D53" s="661"/>
      <c r="E53" s="1165"/>
      <c r="F53" s="896"/>
      <c r="G53" s="715"/>
      <c r="H53" s="715"/>
    </row>
    <row r="54" spans="1:8" s="21" customFormat="1">
      <c r="A54" s="1562"/>
      <c r="C54" s="661"/>
      <c r="D54" s="661"/>
      <c r="F54" s="715"/>
      <c r="G54" s="715"/>
      <c r="H54" s="715"/>
    </row>
    <row r="55" spans="1:8" s="21" customFormat="1">
      <c r="A55" s="1562"/>
      <c r="C55" s="661"/>
      <c r="D55" s="661"/>
      <c r="F55" s="896"/>
      <c r="G55" s="715"/>
      <c r="H55" s="715"/>
    </row>
    <row r="56" spans="1:8" s="21" customFormat="1">
      <c r="A56" s="1562"/>
      <c r="B56" s="1165"/>
      <c r="C56" s="661"/>
      <c r="D56" s="661"/>
      <c r="F56" s="896"/>
      <c r="G56" s="715"/>
      <c r="H56" s="715"/>
    </row>
    <row r="57" spans="1:8" s="21" customFormat="1">
      <c r="A57" s="1562"/>
      <c r="C57" s="661"/>
      <c r="D57" s="661"/>
      <c r="E57" s="1165"/>
      <c r="F57" s="896"/>
      <c r="G57" s="715"/>
      <c r="H57" s="715"/>
    </row>
    <row r="58" spans="1:8" s="21" customFormat="1">
      <c r="A58" s="1562"/>
      <c r="C58" s="661"/>
      <c r="D58" s="661"/>
      <c r="F58" s="715"/>
      <c r="G58" s="715"/>
      <c r="H58" s="715"/>
    </row>
    <row r="59" spans="1:8" s="21" customFormat="1">
      <c r="A59" s="1562"/>
      <c r="C59" s="661"/>
      <c r="D59" s="661"/>
      <c r="F59" s="896"/>
      <c r="G59" s="715"/>
      <c r="H59" s="715"/>
    </row>
    <row r="60" spans="1:8" s="21" customFormat="1">
      <c r="A60" s="1562"/>
      <c r="B60" s="1165"/>
      <c r="C60" s="661"/>
      <c r="D60" s="661"/>
      <c r="F60" s="896"/>
      <c r="G60" s="715"/>
      <c r="H60" s="715"/>
    </row>
    <row r="61" spans="1:8" s="21" customFormat="1">
      <c r="A61" s="1562"/>
      <c r="C61" s="661"/>
      <c r="D61" s="661"/>
      <c r="E61" s="1165"/>
      <c r="F61" s="896"/>
      <c r="G61" s="715"/>
      <c r="H61" s="715"/>
    </row>
    <row r="62" spans="1:8" s="21" customFormat="1">
      <c r="A62" s="1562"/>
      <c r="C62" s="661"/>
      <c r="D62" s="661"/>
      <c r="F62" s="715"/>
      <c r="G62" s="715"/>
      <c r="H62" s="715"/>
    </row>
    <row r="63" spans="1:8" s="21" customFormat="1">
      <c r="A63" s="1562"/>
      <c r="C63" s="661"/>
      <c r="D63" s="661"/>
      <c r="F63" s="896"/>
      <c r="G63" s="715"/>
      <c r="H63" s="715"/>
    </row>
    <row r="64" spans="1:8" s="21" customFormat="1">
      <c r="A64" s="1562"/>
      <c r="B64" s="1165"/>
      <c r="C64" s="661"/>
      <c r="D64" s="661"/>
      <c r="F64" s="896"/>
      <c r="G64" s="715"/>
      <c r="H64" s="715"/>
    </row>
    <row r="65" spans="1:8" s="21" customFormat="1">
      <c r="A65" s="1562"/>
      <c r="C65" s="661"/>
      <c r="D65" s="661"/>
      <c r="E65" s="1165"/>
      <c r="F65" s="896"/>
      <c r="G65" s="715"/>
      <c r="H65" s="715"/>
    </row>
    <row r="66" spans="1:8" s="21" customFormat="1">
      <c r="A66" s="1562"/>
      <c r="C66" s="661"/>
      <c r="D66" s="661"/>
      <c r="F66" s="715"/>
      <c r="G66" s="715"/>
      <c r="H66" s="715"/>
    </row>
    <row r="67" spans="1:8" s="21" customFormat="1">
      <c r="A67" s="1562"/>
      <c r="C67" s="661"/>
      <c r="D67" s="661"/>
      <c r="F67" s="896"/>
      <c r="G67" s="715"/>
      <c r="H67" s="715"/>
    </row>
    <row r="68" spans="1:8" s="21" customFormat="1">
      <c r="A68" s="1562"/>
      <c r="B68" s="1165"/>
      <c r="C68" s="661"/>
      <c r="D68" s="661"/>
      <c r="F68" s="896"/>
      <c r="G68" s="715"/>
      <c r="H68" s="715"/>
    </row>
    <row r="69" spans="1:8" s="21" customFormat="1">
      <c r="A69" s="1562"/>
      <c r="C69" s="661"/>
      <c r="D69" s="661"/>
      <c r="E69" s="1165"/>
      <c r="F69" s="896"/>
      <c r="G69" s="715"/>
      <c r="H69" s="715"/>
    </row>
    <row r="70" spans="1:8" s="21" customFormat="1">
      <c r="A70" s="1562"/>
      <c r="C70" s="661"/>
      <c r="D70" s="661"/>
      <c r="F70" s="715"/>
      <c r="G70" s="715"/>
      <c r="H70" s="715"/>
    </row>
    <row r="71" spans="1:8" s="21" customFormat="1">
      <c r="A71" s="1562"/>
      <c r="C71" s="661"/>
      <c r="D71" s="661"/>
      <c r="F71" s="896"/>
      <c r="G71" s="715"/>
      <c r="H71" s="715"/>
    </row>
    <row r="72" spans="1:8" s="21" customFormat="1">
      <c r="A72" s="1562"/>
      <c r="B72" s="1165"/>
      <c r="C72" s="661"/>
      <c r="D72" s="661"/>
      <c r="F72" s="896"/>
      <c r="G72" s="715"/>
      <c r="H72" s="715"/>
    </row>
    <row r="73" spans="1:8" s="21" customFormat="1">
      <c r="A73" s="1562"/>
      <c r="C73" s="661"/>
      <c r="D73" s="661"/>
      <c r="E73" s="1165"/>
      <c r="F73" s="896"/>
      <c r="G73" s="715"/>
      <c r="H73" s="715"/>
    </row>
    <row r="74" spans="1:8" s="21" customFormat="1">
      <c r="A74" s="1562"/>
      <c r="C74" s="661"/>
      <c r="D74" s="661"/>
      <c r="F74" s="715"/>
      <c r="G74" s="715"/>
      <c r="H74" s="715"/>
    </row>
    <row r="75" spans="1:8" s="21" customFormat="1">
      <c r="A75" s="1562"/>
      <c r="C75" s="661"/>
      <c r="D75" s="661"/>
      <c r="F75" s="896"/>
      <c r="G75" s="715"/>
      <c r="H75" s="715"/>
    </row>
    <row r="76" spans="1:8" s="21" customFormat="1">
      <c r="A76" s="1562"/>
      <c r="B76" s="1165"/>
      <c r="C76" s="661"/>
      <c r="D76" s="661"/>
      <c r="F76" s="896"/>
      <c r="G76" s="715"/>
      <c r="H76" s="715"/>
    </row>
    <row r="77" spans="1:8" s="21" customFormat="1">
      <c r="A77" s="1562"/>
      <c r="C77" s="661"/>
      <c r="D77" s="661"/>
      <c r="E77" s="1165"/>
      <c r="F77" s="896"/>
      <c r="G77" s="715"/>
      <c r="H77" s="715"/>
    </row>
    <row r="78" spans="1:8" s="21" customFormat="1">
      <c r="A78" s="1562"/>
      <c r="C78" s="661"/>
      <c r="D78" s="661"/>
      <c r="F78" s="715"/>
      <c r="G78" s="715"/>
      <c r="H78" s="715"/>
    </row>
    <row r="79" spans="1:8" s="21" customFormat="1">
      <c r="A79" s="1562"/>
      <c r="C79" s="661"/>
      <c r="D79" s="661"/>
      <c r="F79" s="896"/>
      <c r="G79" s="715"/>
      <c r="H79" s="715"/>
    </row>
    <row r="80" spans="1:8" s="21" customFormat="1">
      <c r="A80" s="1562"/>
      <c r="B80" s="1165"/>
      <c r="C80" s="661"/>
      <c r="D80" s="661"/>
      <c r="F80" s="896"/>
      <c r="G80" s="715"/>
      <c r="H80" s="715"/>
    </row>
    <row r="81" spans="1:8" s="21" customFormat="1">
      <c r="A81" s="1562"/>
      <c r="C81" s="661"/>
      <c r="D81" s="661"/>
      <c r="E81" s="1165"/>
      <c r="F81" s="896"/>
      <c r="G81" s="715"/>
      <c r="H81" s="715"/>
    </row>
    <row r="82" spans="1:8" s="21" customFormat="1">
      <c r="A82" s="1562"/>
      <c r="C82" s="661"/>
      <c r="D82" s="661"/>
      <c r="F82" s="715"/>
      <c r="G82" s="715"/>
      <c r="H82" s="715"/>
    </row>
    <row r="83" spans="1:8" s="21" customFormat="1">
      <c r="A83" s="1562"/>
      <c r="C83" s="661"/>
      <c r="D83" s="661"/>
      <c r="F83" s="896"/>
      <c r="G83" s="715"/>
      <c r="H83" s="715"/>
    </row>
    <row r="84" spans="1:8" s="21" customFormat="1">
      <c r="A84" s="1562"/>
      <c r="B84" s="1165"/>
      <c r="C84" s="661"/>
      <c r="D84" s="661"/>
      <c r="F84" s="896"/>
      <c r="G84" s="715"/>
      <c r="H84" s="715"/>
    </row>
    <row r="85" spans="1:8" s="21" customFormat="1">
      <c r="A85" s="1562"/>
      <c r="C85" s="661"/>
      <c r="D85" s="661"/>
      <c r="E85" s="1165"/>
      <c r="F85" s="896"/>
      <c r="G85" s="715"/>
      <c r="H85" s="715"/>
    </row>
    <row r="86" spans="1:8" s="21" customFormat="1">
      <c r="A86" s="1562"/>
      <c r="C86" s="661"/>
      <c r="D86" s="661"/>
      <c r="F86" s="715"/>
      <c r="G86" s="715"/>
      <c r="H86" s="715"/>
    </row>
    <row r="87" spans="1:8" s="21" customFormat="1">
      <c r="A87" s="1562"/>
      <c r="C87" s="661"/>
      <c r="D87" s="661"/>
      <c r="F87" s="896"/>
      <c r="G87" s="715"/>
      <c r="H87" s="715"/>
    </row>
    <row r="88" spans="1:8" s="21" customFormat="1">
      <c r="A88" s="1562"/>
      <c r="B88" s="1165"/>
      <c r="C88" s="661"/>
      <c r="D88" s="661"/>
      <c r="F88" s="896"/>
      <c r="G88" s="715"/>
      <c r="H88" s="715"/>
    </row>
    <row r="89" spans="1:8" s="21" customFormat="1">
      <c r="A89" s="1562"/>
      <c r="C89" s="661"/>
      <c r="D89" s="661"/>
      <c r="E89" s="1165"/>
      <c r="F89" s="896"/>
      <c r="G89" s="715"/>
      <c r="H89" s="715"/>
    </row>
    <row r="90" spans="1:8" s="21" customFormat="1">
      <c r="A90" s="1562"/>
      <c r="C90" s="661"/>
      <c r="D90" s="661"/>
      <c r="E90" s="1575"/>
      <c r="F90" s="1576"/>
      <c r="G90" s="715"/>
      <c r="H90" s="715"/>
    </row>
    <row r="91" spans="1:8" s="21" customFormat="1">
      <c r="A91" s="1562"/>
      <c r="C91" s="661"/>
      <c r="D91" s="661"/>
      <c r="E91" s="1575"/>
      <c r="F91" s="1576"/>
      <c r="G91" s="715"/>
      <c r="H91" s="715"/>
    </row>
    <row r="92" spans="1:8" s="21" customFormat="1" ht="18.75">
      <c r="A92" s="1562"/>
      <c r="E92" s="1575"/>
      <c r="F92" s="1580"/>
      <c r="G92" s="1580"/>
      <c r="H92" s="1580"/>
    </row>
    <row r="93" spans="1:8" s="21" customFormat="1">
      <c r="A93" s="1562"/>
      <c r="F93" s="631"/>
      <c r="G93" s="631"/>
      <c r="H93" s="1577"/>
    </row>
    <row r="94" spans="1:8">
      <c r="F94" s="808"/>
      <c r="G94" s="808"/>
      <c r="H94" s="858"/>
    </row>
    <row r="95" spans="1:8">
      <c r="F95" s="808"/>
      <c r="G95" s="808"/>
      <c r="H95" s="858"/>
    </row>
    <row r="96" spans="1:8">
      <c r="F96" s="808"/>
      <c r="G96" s="808"/>
      <c r="H96" s="858"/>
    </row>
    <row r="97" spans="1:10">
      <c r="F97" s="808"/>
      <c r="G97" s="808"/>
      <c r="H97" s="858"/>
    </row>
    <row r="98" spans="1:10">
      <c r="F98" s="808"/>
      <c r="G98" s="808"/>
      <c r="H98" s="858"/>
    </row>
    <row r="99" spans="1:10">
      <c r="F99" s="808"/>
      <c r="G99" s="1344" t="s">
        <v>1815</v>
      </c>
      <c r="H99" s="858"/>
    </row>
    <row r="100" spans="1:10">
      <c r="G100" s="1281" t="s">
        <v>1816</v>
      </c>
    </row>
    <row r="101" spans="1:10">
      <c r="E101" s="75"/>
      <c r="F101" s="75"/>
      <c r="G101" s="1344" t="s">
        <v>11</v>
      </c>
      <c r="H101" s="1281" t="s">
        <v>1817</v>
      </c>
    </row>
    <row r="102" spans="1:10">
      <c r="B102" s="4"/>
      <c r="C102" s="4"/>
      <c r="D102" s="4"/>
      <c r="E102" s="4"/>
      <c r="F102" s="4"/>
      <c r="G102" s="1281" t="s">
        <v>65</v>
      </c>
      <c r="H102" s="1117" t="s">
        <v>12</v>
      </c>
      <c r="I102" s="4"/>
      <c r="J102" s="4"/>
    </row>
    <row r="103" spans="1:10">
      <c r="B103" s="1752" t="s">
        <v>1495</v>
      </c>
      <c r="C103" s="1758"/>
      <c r="D103" s="1758"/>
      <c r="E103" s="1758"/>
      <c r="F103" s="1561" t="s">
        <v>270</v>
      </c>
      <c r="G103" s="1761" t="s">
        <v>285</v>
      </c>
      <c r="H103" s="1761"/>
      <c r="I103" s="806"/>
      <c r="J103" s="806"/>
    </row>
    <row r="104" spans="1:10" ht="45" customHeight="1" thickBot="1">
      <c r="B104" s="904" t="s">
        <v>1494</v>
      </c>
      <c r="C104" s="905" t="s">
        <v>1493</v>
      </c>
      <c r="D104" s="904" t="s">
        <v>1492</v>
      </c>
      <c r="E104" s="1763" t="s">
        <v>1818</v>
      </c>
      <c r="F104" s="1764"/>
      <c r="G104" s="903" t="s">
        <v>1491</v>
      </c>
      <c r="H104" s="903" t="s">
        <v>1490</v>
      </c>
      <c r="I104" s="826"/>
      <c r="J104" s="826"/>
    </row>
    <row r="105" spans="1:10" ht="16.5" thickBot="1">
      <c r="A105" s="810">
        <v>35</v>
      </c>
      <c r="B105" s="902"/>
      <c r="C105" s="901">
        <v>240</v>
      </c>
      <c r="D105" s="901"/>
      <c r="E105" s="900" t="s">
        <v>1487</v>
      </c>
      <c r="F105" s="899" t="str">
        <f>IF(('Val-Départ'!G35=""),"",VLOOKUP('Val-Départ'!G35,'Val-Départ'!G35:M35,1,FALSE))</f>
        <v>outillage</v>
      </c>
      <c r="G105" s="906">
        <f>IF(OR('Val-Départ'!G35="", 'Val-Départ'!G35="note de crédit" ),"0",VLOOKUP('Val-Départ'!G35,'Val-Départ'!G35:AB35,11,FALSE))</f>
        <v>743.68</v>
      </c>
      <c r="H105" s="871"/>
      <c r="I105" s="4">
        <v>35</v>
      </c>
      <c r="J105" s="899"/>
    </row>
    <row r="106" spans="1:10" ht="16.5" thickBot="1">
      <c r="B106" s="870"/>
      <c r="C106" s="869">
        <v>4110</v>
      </c>
      <c r="D106" s="869"/>
      <c r="E106" s="897" t="s">
        <v>1486</v>
      </c>
      <c r="F106" s="896" t="s">
        <v>1489</v>
      </c>
      <c r="G106" s="906">
        <f>IF(OR('Val-Départ'!G35="",  'Val-Départ'!G35="prest.serv.", 'Val-Départ'!G35="Intracomm.",  'Val-Départ'!G35="note de crédit" ),"0",VLOOKUP('Val-Départ'!G35,'Val-Départ'!G35:AB35,18,FALSE))</f>
        <v>156.1728</v>
      </c>
      <c r="H106" s="871"/>
      <c r="I106" s="4">
        <v>36</v>
      </c>
    </row>
    <row r="107" spans="1:10">
      <c r="B107" s="870"/>
      <c r="C107" s="869"/>
      <c r="D107" s="869">
        <v>440</v>
      </c>
      <c r="E107" s="897" t="s">
        <v>1485</v>
      </c>
      <c r="F107" s="899" t="str">
        <f>IF(('Val-Départ'!B35=""),"",VLOOKUP('Val-Départ'!B35,'Val-Départ'!B35:M35,2,FALSE))</f>
        <v>Feromat</v>
      </c>
      <c r="G107" s="866"/>
      <c r="H107" s="906">
        <f>IF(OR('Val-Départ'!G35="", 'Val-Départ'!G35="note de crédit" ),"0",VLOOKUP('Val-Départ'!G35,'Val-Départ'!G35:AB35,20,FALSE))</f>
        <v>899.85279999999989</v>
      </c>
      <c r="I107" s="4">
        <v>37</v>
      </c>
    </row>
    <row r="108" spans="1:10" ht="16.5" thickBot="1">
      <c r="B108" s="885" t="str">
        <f>'[1]Val-Départ'!B26</f>
        <v>F0074</v>
      </c>
      <c r="C108" s="884"/>
      <c r="D108" s="884"/>
      <c r="E108" s="894" t="s">
        <v>1484</v>
      </c>
      <c r="F108" s="899" t="str">
        <f>IF(('Val-Départ'!B35=""),"",VLOOKUP('Val-Départ'!B35,'Val-Départ'!B35:M35,2,FALSE))</f>
        <v>Feromat</v>
      </c>
      <c r="G108" s="882"/>
      <c r="H108" s="881"/>
      <c r="I108" s="21">
        <v>38</v>
      </c>
    </row>
    <row r="109" spans="1:10" ht="16.5" thickBot="1">
      <c r="A109" s="810">
        <v>36</v>
      </c>
      <c r="B109" s="880"/>
      <c r="C109" s="875"/>
      <c r="D109" s="875"/>
      <c r="E109" s="898" t="s">
        <v>1487</v>
      </c>
      <c r="F109" s="899" t="str">
        <f>IF(('Val-Départ'!G36=""),"",VLOOKUP('Val-Départ'!G36,'Val-Départ'!G36:M36,1,FALSE))</f>
        <v>Marchandise</v>
      </c>
      <c r="G109" s="906">
        <f>IF(OR('Val-Départ'!G36="", 'Val-Départ'!G36="note de crédit" ),"0",VLOOKUP('Val-Départ'!G36,'Val-Départ'!G36:AB36,8,FALSE))</f>
        <v>1395.67</v>
      </c>
      <c r="H109" s="873"/>
      <c r="I109" s="21">
        <v>39</v>
      </c>
    </row>
    <row r="110" spans="1:10" ht="16.5" thickBot="1">
      <c r="B110" s="879"/>
      <c r="C110" s="869"/>
      <c r="D110" s="869"/>
      <c r="E110" s="897" t="s">
        <v>1486</v>
      </c>
      <c r="F110" s="896" t="s">
        <v>1489</v>
      </c>
      <c r="G110" s="906">
        <f>IF(OR('Val-Départ'!G36="",  'Val-Départ'!G36="prest.serv.", 'Val-Départ'!G36="Intracomm.",  'Val-Départ'!G36="note de crédit" ),"0",VLOOKUP('Val-Départ'!G36,'Val-Départ'!G36:AB36,18,FALSE))</f>
        <v>293.09070000000003</v>
      </c>
      <c r="H110" s="871"/>
      <c r="I110" s="21">
        <v>40</v>
      </c>
    </row>
    <row r="111" spans="1:10">
      <c r="B111" s="879"/>
      <c r="C111" s="869"/>
      <c r="D111" s="869"/>
      <c r="E111" s="897" t="s">
        <v>1485</v>
      </c>
      <c r="F111" s="899" t="str">
        <f>IF(('Val-Départ'!B36=""),"",VLOOKUP('Val-Départ'!B36,'Val-Départ'!B36:M36,2,FALSE))</f>
        <v>Durand</v>
      </c>
      <c r="G111" s="866"/>
      <c r="H111" s="906">
        <f>IF(OR('Val-Départ'!G36="", 'Val-Départ'!G36="note de crédit" ),"0",VLOOKUP('Val-Départ'!G36,'Val-Départ'!G36:AB36,20,FALSE))</f>
        <v>1688.7607</v>
      </c>
      <c r="I111" s="21">
        <v>41</v>
      </c>
    </row>
    <row r="112" spans="1:10" ht="16.5" thickBot="1">
      <c r="B112" s="885" t="str">
        <f>'[1]Val-Départ'!B27</f>
        <v>F0030</v>
      </c>
      <c r="C112" s="864"/>
      <c r="D112" s="864"/>
      <c r="E112" s="894" t="s">
        <v>1484</v>
      </c>
      <c r="F112" s="899" t="str">
        <f>IF(('Val-Départ'!B36=""),"",VLOOKUP('Val-Départ'!B36,'Val-Départ'!B36:M36,2,FALSE))</f>
        <v>Durand</v>
      </c>
      <c r="G112" s="862"/>
      <c r="H112" s="861"/>
      <c r="I112" s="21">
        <v>42</v>
      </c>
    </row>
    <row r="113" spans="1:12" ht="16.5" thickBot="1">
      <c r="A113" s="810">
        <v>37</v>
      </c>
      <c r="B113" s="890"/>
      <c r="C113" s="889">
        <v>604</v>
      </c>
      <c r="D113" s="889"/>
      <c r="E113" s="898" t="s">
        <v>1487</v>
      </c>
      <c r="F113" s="899" t="str">
        <f>IF(('Val-Départ'!G37=""),"",VLOOKUP('Val-Départ'!G37,'Val-Départ'!G37:M37,1,FALSE))</f>
        <v>Marchandise</v>
      </c>
      <c r="G113" s="906">
        <f>IF(OR('Val-Départ'!G37="", 'Val-Départ'!G37="note de crédit" ),"0",VLOOKUP('Val-Départ'!G37,'Val-Départ'!G37:AB37,8,FALSE))</f>
        <v>0</v>
      </c>
      <c r="H113" s="887"/>
      <c r="I113" s="21">
        <v>43</v>
      </c>
      <c r="J113" s="899" t="str">
        <f>IF(('Val-Départ'!B43=""),"",VLOOKUP('Val-Départ'!B43,'Val-Départ'!B43:M43,2,FALSE))</f>
        <v/>
      </c>
    </row>
    <row r="114" spans="1:12" ht="16.5" thickBot="1">
      <c r="B114" s="870"/>
      <c r="C114" s="869">
        <v>4110</v>
      </c>
      <c r="D114" s="869"/>
      <c r="E114" s="897" t="s">
        <v>1486</v>
      </c>
      <c r="F114" s="896" t="s">
        <v>1488</v>
      </c>
      <c r="G114" s="906">
        <f>IF(OR('Val-Départ'!G37="",  'Val-Départ'!G37="prest.serv.", 'Val-Départ'!G37="Intracomm.",  'Val-Départ'!G37="note de crédit" ),"0",VLOOKUP('Val-Départ'!G37,'Val-Départ'!G37:AB37,18,FALSE))</f>
        <v>0</v>
      </c>
      <c r="H114" s="871"/>
      <c r="I114" s="21"/>
      <c r="J114" s="4"/>
    </row>
    <row r="115" spans="1:12">
      <c r="B115" s="870"/>
      <c r="C115" s="869"/>
      <c r="D115" s="869">
        <v>440</v>
      </c>
      <c r="E115" s="897" t="s">
        <v>1485</v>
      </c>
      <c r="F115" s="899" t="str">
        <f>IF(('Val-Départ'!B37=""),"",VLOOKUP('Val-Départ'!B37,'Val-Départ'!B37:M37,2,FALSE))</f>
        <v>Pierre</v>
      </c>
      <c r="G115" s="866"/>
      <c r="H115" s="906">
        <f>IF(OR('Val-Départ'!G37="", 'Val-Départ'!G37="note de crédit" ),"0",VLOOKUP('Val-Départ'!G37,'Val-Départ'!G37:AB37,20,FALSE))</f>
        <v>0</v>
      </c>
      <c r="I115" s="21"/>
      <c r="J115" s="139"/>
      <c r="K115" s="139"/>
    </row>
    <row r="116" spans="1:12" ht="16.5" thickBot="1">
      <c r="B116" s="885" t="str">
        <f>'[1]Val-Départ'!B28</f>
        <v>F0012</v>
      </c>
      <c r="C116" s="884"/>
      <c r="D116" s="884"/>
      <c r="E116" s="894" t="s">
        <v>1484</v>
      </c>
      <c r="F116" s="899" t="str">
        <f>IF(('Val-Départ'!B37=""),"",VLOOKUP('Val-Départ'!B37,'Val-Départ'!B37:M37,2,FALSE))</f>
        <v>Pierre</v>
      </c>
      <c r="G116" s="882"/>
      <c r="H116" s="881"/>
      <c r="I116" s="4"/>
      <c r="J116" s="4"/>
    </row>
    <row r="117" spans="1:12" ht="16.5" thickBot="1">
      <c r="A117" s="810">
        <v>38</v>
      </c>
      <c r="B117" s="880"/>
      <c r="C117" s="875">
        <v>604</v>
      </c>
      <c r="D117" s="875"/>
      <c r="E117" s="893" t="s">
        <v>1487</v>
      </c>
      <c r="F117" s="899" t="str">
        <f>IF(('Val-Départ'!G38=""),"",VLOOKUP('Val-Départ'!G38,'Val-Départ'!G38:M38,1,FALSE))</f>
        <v>Marchandise</v>
      </c>
      <c r="G117" s="906">
        <f>IF(OR('Val-Départ'!G38="", 'Val-Départ'!G38="note de crédit" ),"0",VLOOKUP('Val-Départ'!G38,'Val-Départ'!G38:AB38,8,FALSE))</f>
        <v>0</v>
      </c>
      <c r="H117" s="873"/>
      <c r="I117" s="4"/>
      <c r="J117" s="4"/>
      <c r="K117" s="4"/>
    </row>
    <row r="118" spans="1:12" ht="16.5" thickBot="1">
      <c r="B118" s="879"/>
      <c r="C118" s="869">
        <v>4110</v>
      </c>
      <c r="D118" s="869"/>
      <c r="E118" s="3" t="s">
        <v>1486</v>
      </c>
      <c r="F118" s="892"/>
      <c r="G118" s="906">
        <f>IF(OR('Val-Départ'!G38="",  'Val-Départ'!G38="prest.serv.", 'Val-Départ'!G38="Intracomm.",  'Val-Départ'!G38="note de crédit" ),"0",VLOOKUP('Val-Départ'!G38,'Val-Départ'!G38:AB38,18,FALSE))</f>
        <v>0</v>
      </c>
      <c r="H118" s="871"/>
      <c r="I118" s="4"/>
      <c r="J118" s="4"/>
      <c r="K118" s="4"/>
    </row>
    <row r="119" spans="1:12">
      <c r="B119" s="879"/>
      <c r="C119" s="869"/>
      <c r="D119" s="869"/>
      <c r="E119" s="3" t="s">
        <v>1485</v>
      </c>
      <c r="F119" s="899" t="str">
        <f>IF(('Val-Départ'!B38=""),"",VLOOKUP('Val-Départ'!B38,'Val-Départ'!B38:M38,2,FALSE))</f>
        <v/>
      </c>
      <c r="G119" s="866"/>
      <c r="H119" s="906">
        <f>IF(OR('Val-Départ'!G38="", 'Val-Départ'!G38="note de crédit" ),"0",VLOOKUP('Val-Départ'!G38,'Val-Départ'!G38:AB38,20,FALSE))</f>
        <v>0</v>
      </c>
      <c r="I119" s="4"/>
      <c r="J119" s="4"/>
      <c r="K119" s="4"/>
    </row>
    <row r="120" spans="1:12" ht="16.5" thickBot="1">
      <c r="B120" s="877"/>
      <c r="C120" s="864"/>
      <c r="D120" s="864"/>
      <c r="E120" s="891" t="s">
        <v>1484</v>
      </c>
      <c r="F120" s="899" t="str">
        <f>IF(('Val-Départ'!B38=""),"",VLOOKUP('Val-Départ'!B38,'Val-Départ'!B38:M38,2,FALSE))</f>
        <v/>
      </c>
      <c r="G120" s="862"/>
      <c r="H120" s="861"/>
      <c r="I120" s="4"/>
      <c r="J120" s="4"/>
      <c r="K120" s="4"/>
    </row>
    <row r="121" spans="1:12" ht="16.5" thickBot="1">
      <c r="A121" s="810">
        <v>39</v>
      </c>
      <c r="B121" s="890"/>
      <c r="C121" s="889"/>
      <c r="D121" s="889"/>
      <c r="E121" s="888" t="s">
        <v>1487</v>
      </c>
      <c r="F121" s="899" t="str">
        <f>IF(('Val-Départ'!G39=""),"",VLOOKUP('Val-Départ'!G39,'Val-Départ'!G39:M39,1,FALSE))</f>
        <v>Entret./M.R.</v>
      </c>
      <c r="G121" s="906">
        <f>IF(OR('Val-Départ'!G39="", 'Val-Départ'!G39="note de crédit" ),"0",VLOOKUP('Val-Départ'!G39,'Val-Départ'!G39:AB39,8,FALSE))</f>
        <v>0</v>
      </c>
      <c r="H121" s="887"/>
      <c r="I121" s="4"/>
      <c r="J121" s="165"/>
      <c r="K121" s="165"/>
    </row>
    <row r="122" spans="1:12" ht="16.5" thickBot="1">
      <c r="B122" s="870"/>
      <c r="C122" s="869"/>
      <c r="D122" s="869"/>
      <c r="E122" s="868" t="s">
        <v>1486</v>
      </c>
      <c r="F122" s="886" t="s">
        <v>1488</v>
      </c>
      <c r="G122" s="906">
        <f>IF(OR('Val-Départ'!G39="",  'Val-Départ'!G39="prest.serv.", 'Val-Départ'!G39="Intracomm.",  'Val-Départ'!G39="note de crédit" ),"0",VLOOKUP('Val-Départ'!G39,'Val-Départ'!G39:AB39,18,FALSE))</f>
        <v>0</v>
      </c>
      <c r="H122" s="871"/>
      <c r="I122" s="4"/>
      <c r="J122" s="4"/>
      <c r="K122" s="4"/>
    </row>
    <row r="123" spans="1:12">
      <c r="B123" s="870"/>
      <c r="C123" s="869"/>
      <c r="D123" s="869"/>
      <c r="E123" s="868" t="s">
        <v>1485</v>
      </c>
      <c r="F123" s="899" t="str">
        <f>IF(('Val-Départ'!B39=""),"",VLOOKUP('Val-Départ'!B39,'Val-Départ'!B39:M39,2,FALSE))</f>
        <v/>
      </c>
      <c r="G123" s="866"/>
      <c r="H123" s="906">
        <f>IF(OR('Val-Départ'!G39="", 'Val-Départ'!G39="note de crédit" ),"0",VLOOKUP('Val-Départ'!G39,'Val-Départ'!G39:AB39,20,FALSE))</f>
        <v>0</v>
      </c>
      <c r="I123" s="4"/>
      <c r="J123" s="4"/>
    </row>
    <row r="124" spans="1:12" ht="16.5" thickBot="1">
      <c r="B124" s="885">
        <f>'[1]Val-Départ'!B30</f>
        <v>0</v>
      </c>
      <c r="C124" s="884"/>
      <c r="D124" s="884"/>
      <c r="E124" s="883" t="s">
        <v>1484</v>
      </c>
      <c r="F124" s="899" t="str">
        <f>IF(('Val-Départ'!B39=""),"",VLOOKUP('Val-Départ'!B39,'Val-Départ'!B39:M39,2,FALSE))</f>
        <v/>
      </c>
      <c r="G124" s="882"/>
      <c r="H124" s="881"/>
      <c r="I124" s="4"/>
      <c r="J124" s="4"/>
    </row>
    <row r="125" spans="1:12" ht="16.5" thickBot="1">
      <c r="A125" s="810">
        <v>40</v>
      </c>
      <c r="B125" s="880"/>
      <c r="C125" s="875"/>
      <c r="D125" s="875"/>
      <c r="E125" s="876" t="s">
        <v>1487</v>
      </c>
      <c r="F125" s="899" t="str">
        <f>IF(('Val-Départ'!G40=""),"",VLOOKUP('Val-Départ'!G40,'Val-Départ'!G40:M40,1,FALSE))</f>
        <v>note de crédit</v>
      </c>
      <c r="G125" s="906" t="str">
        <f>IF(OR('Val-Départ'!G40="", 'Val-Départ'!G40="note de crédit" ),"0",VLOOKUP('Val-Départ'!G40,'Val-Départ'!G40:AB40,8,FALSE))</f>
        <v>0</v>
      </c>
      <c r="H125" s="873"/>
      <c r="I125" s="4"/>
      <c r="J125" s="4"/>
    </row>
    <row r="126" spans="1:12" ht="16.5" thickBot="1">
      <c r="B126" s="879"/>
      <c r="C126" s="869"/>
      <c r="D126" s="869"/>
      <c r="E126" s="870" t="s">
        <v>1486</v>
      </c>
      <c r="F126" s="867"/>
      <c r="G126" s="906" t="str">
        <f>IF(OR('Val-Départ'!G40="",  'Val-Départ'!G40="prest.serv.", 'Val-Départ'!G40="Intracomm.",  'Val-Départ'!G40="note de crédit" ),"0",VLOOKUP('Val-Départ'!G40,'Val-Départ'!G40:AB40,18,FALSE))</f>
        <v>0</v>
      </c>
      <c r="H126" s="871"/>
      <c r="I126" s="4"/>
      <c r="J126" s="4"/>
    </row>
    <row r="127" spans="1:12">
      <c r="B127" s="879"/>
      <c r="C127" s="869"/>
      <c r="D127" s="869"/>
      <c r="E127" s="870" t="s">
        <v>1485</v>
      </c>
      <c r="F127" s="899" t="str">
        <f>IF(('Val-Départ'!B40=""),"",VLOOKUP('Val-Départ'!B40,'Val-Départ'!B40:M40,2,FALSE))</f>
        <v/>
      </c>
      <c r="G127" s="866"/>
      <c r="H127" s="906" t="str">
        <f>IF(OR('Val-Départ'!G40="", 'Val-Départ'!G40="note de crédit" ),"0",VLOOKUP('Val-Départ'!G40,'Val-Départ'!G40:AB40,20,FALSE))</f>
        <v>0</v>
      </c>
      <c r="I127" s="4"/>
      <c r="J127" s="4"/>
      <c r="K127" s="4"/>
      <c r="L127" s="4"/>
    </row>
    <row r="128" spans="1:12" ht="16.5" thickBot="1">
      <c r="B128" s="877"/>
      <c r="C128" s="864"/>
      <c r="D128" s="864"/>
      <c r="E128" s="877" t="s">
        <v>1484</v>
      </c>
      <c r="F128" s="899" t="str">
        <f>IF(('Val-Départ'!B40=""),"",VLOOKUP('Val-Départ'!B40,'Val-Départ'!B40:M40,2,FALSE))</f>
        <v/>
      </c>
      <c r="G128" s="862"/>
      <c r="H128" s="861"/>
      <c r="I128" s="4"/>
      <c r="J128" s="4"/>
      <c r="K128" s="4"/>
      <c r="L128" s="4"/>
    </row>
    <row r="129" spans="1:12" ht="16.5" thickBot="1">
      <c r="A129" s="810">
        <v>41</v>
      </c>
      <c r="B129" s="876"/>
      <c r="C129" s="875"/>
      <c r="D129" s="875"/>
      <c r="E129" s="876" t="s">
        <v>1487</v>
      </c>
      <c r="F129" s="899" t="str">
        <f>IF(('Val-Départ'!G41=""),"",VLOOKUP('Val-Départ'!G41,'Val-Départ'!G41:M41,1,FALSE))</f>
        <v>Pub.</v>
      </c>
      <c r="G129" s="906">
        <f>IF(OR('Val-Départ'!G41="", 'Val-Départ'!G41="note de crédit" ),"0",VLOOKUP('Val-Départ'!G41,'Val-Départ'!G41:AB41,8,FALSE))</f>
        <v>0</v>
      </c>
      <c r="H129" s="873"/>
      <c r="I129" s="4"/>
      <c r="J129" s="165"/>
      <c r="K129" s="165"/>
      <c r="L129" s="4"/>
    </row>
    <row r="130" spans="1:12" ht="16.5" thickBot="1">
      <c r="B130" s="870"/>
      <c r="C130" s="869"/>
      <c r="D130" s="869"/>
      <c r="E130" s="870" t="s">
        <v>1486</v>
      </c>
      <c r="F130" s="878" t="s">
        <v>1488</v>
      </c>
      <c r="G130" s="906">
        <f>IF(OR('Val-Départ'!G41="",  'Val-Départ'!G41="prest.serv.", 'Val-Départ'!G41="Intracomm.",  'Val-Départ'!G41="note de crédit" ),"0",VLOOKUP('Val-Départ'!G41,'Val-Départ'!G41:AB41,18,FALSE))</f>
        <v>0</v>
      </c>
      <c r="H130" s="871"/>
      <c r="I130" s="4"/>
      <c r="J130" s="4"/>
      <c r="K130" s="4"/>
      <c r="L130" s="4"/>
    </row>
    <row r="131" spans="1:12">
      <c r="B131" s="870"/>
      <c r="C131" s="869"/>
      <c r="D131" s="869"/>
      <c r="E131" s="870" t="s">
        <v>1485</v>
      </c>
      <c r="F131" s="899" t="str">
        <f>IF(('Val-Départ'!B41=""),"",VLOOKUP('Val-Départ'!B41,'Val-Départ'!B41:M41,2,FALSE))</f>
        <v/>
      </c>
      <c r="G131" s="866"/>
      <c r="H131" s="906">
        <f>IF(OR('Val-Départ'!G41="", 'Val-Départ'!G41="note de crédit" ),"0",VLOOKUP('Val-Départ'!G41,'Val-Départ'!G41:AB41,20,FALSE))</f>
        <v>0</v>
      </c>
      <c r="I131" s="4"/>
      <c r="J131" s="4"/>
      <c r="K131" s="4"/>
      <c r="L131" s="4"/>
    </row>
    <row r="132" spans="1:12" ht="16.5" thickBot="1">
      <c r="B132" s="865">
        <f>'[1]Val-Départ'!B32</f>
        <v>0</v>
      </c>
      <c r="C132" s="864"/>
      <c r="D132" s="864"/>
      <c r="E132" s="877" t="s">
        <v>1484</v>
      </c>
      <c r="F132" s="899" t="str">
        <f>IF(('Val-Départ'!B41=""),"",VLOOKUP('Val-Départ'!B41,'Val-Départ'!B41:M41,2,FALSE))</f>
        <v/>
      </c>
      <c r="G132" s="862"/>
      <c r="H132" s="861"/>
      <c r="I132" s="4"/>
      <c r="J132" s="4"/>
    </row>
    <row r="133" spans="1:12" ht="16.5" thickBot="1">
      <c r="A133" s="810">
        <v>42</v>
      </c>
      <c r="B133" s="876"/>
      <c r="C133" s="875"/>
      <c r="D133" s="875"/>
      <c r="E133" s="874" t="s">
        <v>1487</v>
      </c>
      <c r="F133" s="899" t="str">
        <f>IF(('Val-Départ'!G42=""),"",VLOOKUP('Val-Départ'!G42,'Val-Départ'!G42:M42,1,FALSE))</f>
        <v>cocontractant</v>
      </c>
      <c r="G133" s="906">
        <f>IF(OR('Val-Départ'!G42="", 'Val-Départ'!G42="note de crédit" ),"0",VLOOKUP('Val-Départ'!G42,'Val-Départ'!G42:AB42,8,FALSE))</f>
        <v>0</v>
      </c>
      <c r="H133" s="873"/>
      <c r="I133" s="4"/>
      <c r="J133" s="4"/>
    </row>
    <row r="134" spans="1:12" ht="16.5" thickBot="1">
      <c r="B134" s="870"/>
      <c r="C134" s="869"/>
      <c r="D134" s="869"/>
      <c r="E134" s="868" t="s">
        <v>1486</v>
      </c>
      <c r="F134" s="872"/>
      <c r="G134" s="906">
        <f>IF(OR('Val-Départ'!G42="",  'Val-Départ'!G42="prest.serv.", 'Val-Départ'!G42="Intracomm.",  'Val-Départ'!G42="note de crédit" ),"0",VLOOKUP('Val-Départ'!G42,'Val-Départ'!G42:AB42,18,FALSE))</f>
        <v>0</v>
      </c>
      <c r="H134" s="871"/>
      <c r="I134" s="4"/>
      <c r="J134" s="4"/>
    </row>
    <row r="135" spans="1:12">
      <c r="B135" s="870"/>
      <c r="C135" s="869"/>
      <c r="D135" s="869"/>
      <c r="E135" s="868" t="s">
        <v>1485</v>
      </c>
      <c r="F135" s="899" t="str">
        <f>IF(('Val-Départ'!B42=""),"",VLOOKUP('Val-Départ'!B42,'Val-Départ'!B42:M42,2,FALSE))</f>
        <v/>
      </c>
      <c r="G135" s="866"/>
      <c r="H135" s="906">
        <f>IF(OR('Val-Départ'!G42="", 'Val-Départ'!G42="note de crédit" ),"0",VLOOKUP('Val-Départ'!G42,'Val-Départ'!G42:AB42,20,FALSE))</f>
        <v>0</v>
      </c>
      <c r="I135" s="4"/>
      <c r="J135" s="4"/>
    </row>
    <row r="136" spans="1:12" ht="16.5" thickBot="1">
      <c r="B136" s="865"/>
      <c r="C136" s="864"/>
      <c r="D136" s="864"/>
      <c r="E136" s="863" t="s">
        <v>1484</v>
      </c>
      <c r="F136" s="899" t="str">
        <f>IF(('Val-Départ'!B42=""),"",VLOOKUP('Val-Départ'!B42,'Val-Départ'!B42:M42,2,FALSE))</f>
        <v/>
      </c>
      <c r="G136" s="862"/>
      <c r="H136" s="861"/>
      <c r="I136" s="4"/>
      <c r="J136" s="4"/>
    </row>
    <row r="137" spans="1:12">
      <c r="B137" s="43"/>
      <c r="C137" s="860"/>
      <c r="D137" s="860"/>
      <c r="E137" s="1759" t="s">
        <v>28</v>
      </c>
      <c r="F137" s="1760"/>
      <c r="G137" s="859">
        <f>SUM(G105:G136)</f>
        <v>2588.6134999999999</v>
      </c>
      <c r="H137" s="859">
        <f>SUM(H105:H136)</f>
        <v>2588.6134999999999</v>
      </c>
      <c r="I137" s="4"/>
      <c r="J137" s="4"/>
    </row>
    <row r="138" spans="1:12" ht="18.75">
      <c r="B138" s="2"/>
      <c r="C138" s="2"/>
      <c r="D138" s="2"/>
      <c r="E138" s="2"/>
      <c r="F138" s="1762" t="s">
        <v>1483</v>
      </c>
      <c r="G138" s="1762"/>
      <c r="H138" s="1762"/>
      <c r="I138" s="4"/>
      <c r="J138" s="4"/>
    </row>
    <row r="139" spans="1:12">
      <c r="B139" s="4"/>
      <c r="C139" s="4"/>
      <c r="D139" s="4"/>
      <c r="E139" s="4"/>
      <c r="F139" s="1624" t="s">
        <v>1482</v>
      </c>
      <c r="G139" s="1624"/>
      <c r="H139" s="858"/>
      <c r="I139" s="4"/>
      <c r="J139" s="4"/>
    </row>
    <row r="140" spans="1:12">
      <c r="B140" s="4"/>
      <c r="C140" s="4"/>
      <c r="D140" s="4"/>
      <c r="E140" s="4"/>
      <c r="F140" s="4"/>
      <c r="G140" s="807"/>
      <c r="I140" s="4"/>
      <c r="J140" s="4"/>
    </row>
    <row r="141" spans="1:12" ht="15">
      <c r="A141" s="737"/>
    </row>
    <row r="142" spans="1:12">
      <c r="I142" s="4"/>
      <c r="J142" s="165"/>
      <c r="K142" s="165"/>
    </row>
    <row r="143" spans="1:12" ht="15">
      <c r="A143" s="737"/>
      <c r="I143" s="4"/>
      <c r="J143" s="4"/>
    </row>
    <row r="144" spans="1:12" ht="15">
      <c r="A144" s="737"/>
      <c r="I144" s="4"/>
      <c r="J144" s="4"/>
    </row>
    <row r="145" spans="1:10" ht="15">
      <c r="A145" s="737"/>
      <c r="I145" s="4"/>
      <c r="J145" s="4"/>
    </row>
    <row r="147" spans="1:10" ht="15">
      <c r="A147" s="737"/>
      <c r="I147" s="806"/>
      <c r="J147" s="806"/>
    </row>
    <row r="148" spans="1:10" ht="15">
      <c r="A148" s="737"/>
      <c r="I148" s="826"/>
      <c r="J148" s="826"/>
    </row>
    <row r="149" spans="1:10" ht="15">
      <c r="A149" s="737"/>
      <c r="I149" s="4"/>
      <c r="J149" s="4"/>
    </row>
    <row r="150" spans="1:10" ht="15">
      <c r="A150" s="737"/>
      <c r="I150" s="4"/>
      <c r="J150" s="4"/>
    </row>
    <row r="151" spans="1:10" ht="15">
      <c r="A151" s="737"/>
      <c r="I151" s="4"/>
      <c r="J151" s="4"/>
    </row>
    <row r="152" spans="1:10" ht="15">
      <c r="A152" s="737"/>
      <c r="I152" s="4"/>
      <c r="J152" s="4"/>
    </row>
    <row r="153" spans="1:10" ht="15">
      <c r="A153" s="737"/>
      <c r="I153" s="4"/>
      <c r="J153" s="4"/>
    </row>
    <row r="154" spans="1:10" ht="15">
      <c r="A154" s="737"/>
      <c r="I154" s="4"/>
      <c r="J154" s="4"/>
    </row>
    <row r="155" spans="1:10" ht="15">
      <c r="A155" s="737"/>
      <c r="I155" s="4"/>
      <c r="J155" s="4"/>
    </row>
    <row r="156" spans="1:10" ht="15">
      <c r="A156" s="737"/>
      <c r="I156" s="4"/>
      <c r="J156" s="4"/>
    </row>
    <row r="157" spans="1:10" ht="15">
      <c r="A157" s="737"/>
      <c r="I157" s="4"/>
      <c r="J157" s="4"/>
    </row>
    <row r="158" spans="1:10" ht="15">
      <c r="A158" s="737"/>
      <c r="I158" s="4"/>
      <c r="J158" s="4"/>
    </row>
    <row r="159" spans="1:10" ht="15">
      <c r="A159" s="737"/>
      <c r="I159" s="4"/>
      <c r="J159" s="4"/>
    </row>
    <row r="160" spans="1:10" ht="15">
      <c r="A160" s="737"/>
      <c r="I160" s="4"/>
      <c r="J160" s="4"/>
    </row>
    <row r="161" spans="1:10" ht="15">
      <c r="A161" s="737"/>
      <c r="I161" s="4"/>
      <c r="J161" s="4"/>
    </row>
    <row r="162" spans="1:10" ht="15">
      <c r="A162" s="737"/>
      <c r="I162" s="4"/>
      <c r="J162" s="4"/>
    </row>
    <row r="163" spans="1:10" ht="15">
      <c r="A163" s="737"/>
      <c r="I163" s="4"/>
      <c r="J163" s="4"/>
    </row>
    <row r="164" spans="1:10" ht="15">
      <c r="A164" s="737"/>
      <c r="I164" s="4"/>
      <c r="J164" s="4"/>
    </row>
    <row r="165" spans="1:10" ht="15">
      <c r="A165" s="737"/>
      <c r="I165" s="4"/>
      <c r="J165" s="4"/>
    </row>
    <row r="166" spans="1:10" ht="15">
      <c r="A166" s="737"/>
      <c r="I166" s="4"/>
      <c r="J166" s="4"/>
    </row>
    <row r="167" spans="1:10" ht="15">
      <c r="A167" s="737"/>
      <c r="I167" s="4"/>
      <c r="J167" s="4"/>
    </row>
    <row r="168" spans="1:10" ht="15">
      <c r="A168" s="737"/>
      <c r="I168" s="4"/>
      <c r="J168" s="4"/>
    </row>
    <row r="169" spans="1:10" ht="15">
      <c r="A169" s="737"/>
      <c r="I169" s="4"/>
      <c r="J169" s="4"/>
    </row>
    <row r="170" spans="1:10" ht="15">
      <c r="A170" s="737"/>
      <c r="I170" s="4"/>
      <c r="J170" s="4"/>
    </row>
    <row r="171" spans="1:10" ht="15">
      <c r="A171" s="737"/>
      <c r="I171" s="4"/>
      <c r="J171" s="4"/>
    </row>
    <row r="172" spans="1:10" ht="15">
      <c r="A172" s="737"/>
      <c r="I172" s="4"/>
      <c r="J172" s="4"/>
    </row>
    <row r="173" spans="1:10" ht="15">
      <c r="A173" s="737"/>
      <c r="I173" s="4"/>
      <c r="J173" s="4"/>
    </row>
    <row r="174" spans="1:10" ht="15">
      <c r="A174" s="737"/>
      <c r="I174" s="4"/>
      <c r="J174" s="4"/>
    </row>
    <row r="175" spans="1:10" ht="15">
      <c r="A175" s="737"/>
      <c r="I175" s="4"/>
      <c r="J175" s="4"/>
    </row>
  </sheetData>
  <mergeCells count="14">
    <mergeCell ref="E137:F137"/>
    <mergeCell ref="F139:G139"/>
    <mergeCell ref="G103:H103"/>
    <mergeCell ref="F138:H138"/>
    <mergeCell ref="E104:F104"/>
    <mergeCell ref="B103:E103"/>
    <mergeCell ref="I40:J40"/>
    <mergeCell ref="I41:J41"/>
    <mergeCell ref="I42:J42"/>
    <mergeCell ref="C4:D4"/>
    <mergeCell ref="G2:H2"/>
    <mergeCell ref="E3:F3"/>
    <mergeCell ref="B2:F2"/>
    <mergeCell ref="E4:F4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3"/>
  <sheetViews>
    <sheetView topLeftCell="E1" workbookViewId="0">
      <selection activeCell="I9" sqref="I9"/>
    </sheetView>
  </sheetViews>
  <sheetFormatPr baseColWidth="10" defaultRowHeight="15"/>
  <cols>
    <col min="1" max="1" width="40.85546875" customWidth="1"/>
    <col min="2" max="2" width="50.28515625" customWidth="1"/>
    <col min="3" max="3" width="54.28515625" customWidth="1"/>
    <col min="4" max="4" width="51.7109375" customWidth="1"/>
    <col min="5" max="5" width="39.42578125" customWidth="1"/>
    <col min="6" max="6" width="40.28515625" customWidth="1"/>
    <col min="7" max="7" width="40.5703125" customWidth="1"/>
  </cols>
  <sheetData>
    <row r="1" spans="1:7" ht="15.75">
      <c r="A1" s="857" t="s">
        <v>1481</v>
      </c>
      <c r="B1" s="857" t="s">
        <v>1480</v>
      </c>
      <c r="C1" s="857" t="s">
        <v>1479</v>
      </c>
      <c r="D1" s="857" t="s">
        <v>1478</v>
      </c>
      <c r="E1" s="857" t="s">
        <v>1477</v>
      </c>
      <c r="F1" s="857" t="s">
        <v>1476</v>
      </c>
      <c r="G1" s="857" t="s">
        <v>1475</v>
      </c>
    </row>
    <row r="2" spans="1:7">
      <c r="A2" s="737" t="s">
        <v>1775</v>
      </c>
      <c r="B2" s="737" t="s">
        <v>1773</v>
      </c>
      <c r="C2" s="737" t="s">
        <v>1772</v>
      </c>
      <c r="D2" s="737" t="s">
        <v>1764</v>
      </c>
      <c r="E2" s="737" t="s">
        <v>1776</v>
      </c>
      <c r="F2" s="737" t="s">
        <v>1766</v>
      </c>
      <c r="G2" s="737" t="s">
        <v>1770</v>
      </c>
    </row>
    <row r="3" spans="1:7">
      <c r="A3" s="717" t="s">
        <v>1473</v>
      </c>
      <c r="B3" s="737" t="s">
        <v>1774</v>
      </c>
      <c r="C3" s="737"/>
      <c r="D3" s="737" t="s">
        <v>1782</v>
      </c>
      <c r="E3" s="737" t="s">
        <v>1777</v>
      </c>
      <c r="F3" s="737" t="s">
        <v>1791</v>
      </c>
      <c r="G3" s="737" t="s">
        <v>1779</v>
      </c>
    </row>
    <row r="4" spans="1:7">
      <c r="A4" s="737"/>
      <c r="B4" s="737" t="s">
        <v>1761</v>
      </c>
      <c r="C4" s="737"/>
      <c r="D4" s="737" t="s">
        <v>1783</v>
      </c>
      <c r="E4" s="737" t="s">
        <v>1778</v>
      </c>
      <c r="F4" s="737" t="s">
        <v>1769</v>
      </c>
      <c r="G4" s="737" t="s">
        <v>1771</v>
      </c>
    </row>
    <row r="5" spans="1:7">
      <c r="A5" s="737"/>
      <c r="B5" s="737" t="s">
        <v>1762</v>
      </c>
      <c r="C5" s="737"/>
      <c r="D5" s="737" t="s">
        <v>1784</v>
      </c>
      <c r="F5" s="737" t="s">
        <v>1768</v>
      </c>
      <c r="G5" s="737" t="s">
        <v>1795</v>
      </c>
    </row>
    <row r="6" spans="1:7">
      <c r="A6" s="737"/>
      <c r="B6" s="737"/>
      <c r="C6" s="737"/>
      <c r="D6" s="737" t="s">
        <v>1763</v>
      </c>
      <c r="E6" s="737"/>
      <c r="F6" s="737" t="s">
        <v>1767</v>
      </c>
      <c r="G6" s="737" t="s">
        <v>1793</v>
      </c>
    </row>
    <row r="7" spans="1:7">
      <c r="A7" s="737"/>
      <c r="B7" s="737"/>
      <c r="C7" s="737"/>
      <c r="D7" s="737" t="s">
        <v>1765</v>
      </c>
      <c r="E7" s="737"/>
      <c r="F7" s="737" t="s">
        <v>1789</v>
      </c>
      <c r="G7" s="737" t="s">
        <v>1794</v>
      </c>
    </row>
    <row r="8" spans="1:7">
      <c r="A8" s="737"/>
      <c r="B8" s="737"/>
      <c r="C8" s="737"/>
      <c r="D8" s="737" t="s">
        <v>1801</v>
      </c>
      <c r="E8" s="737"/>
      <c r="F8" s="737" t="s">
        <v>1790</v>
      </c>
      <c r="G8" s="737"/>
    </row>
    <row r="9" spans="1:7">
      <c r="A9" s="737"/>
      <c r="B9" s="737"/>
      <c r="C9" s="737"/>
      <c r="D9" s="737" t="s">
        <v>1785</v>
      </c>
      <c r="E9" s="737"/>
      <c r="F9" s="737" t="s">
        <v>1792</v>
      </c>
      <c r="G9" s="737"/>
    </row>
    <row r="10" spans="1:7">
      <c r="A10" s="737"/>
      <c r="B10" s="737"/>
      <c r="C10" s="737"/>
      <c r="D10" s="737" t="s">
        <v>1781</v>
      </c>
      <c r="E10" s="737"/>
      <c r="F10" s="1254"/>
      <c r="G10" s="737"/>
    </row>
    <row r="11" spans="1:7">
      <c r="A11" s="737"/>
      <c r="B11" s="737"/>
      <c r="C11" s="737"/>
      <c r="D11" s="737" t="s">
        <v>1786</v>
      </c>
      <c r="E11" s="737"/>
      <c r="F11" s="737"/>
      <c r="G11" s="737"/>
    </row>
    <row r="12" spans="1:7">
      <c r="A12" s="737"/>
      <c r="B12" s="737"/>
      <c r="C12" s="737"/>
      <c r="D12" s="737" t="s">
        <v>1787</v>
      </c>
      <c r="E12" s="737"/>
      <c r="F12" s="737"/>
      <c r="G12" s="737"/>
    </row>
    <row r="13" spans="1:7">
      <c r="A13" s="737"/>
      <c r="B13" s="737"/>
      <c r="C13" s="737"/>
      <c r="D13" s="737" t="s">
        <v>1780</v>
      </c>
      <c r="E13" s="737"/>
      <c r="F13" s="737"/>
      <c r="G13" s="737"/>
    </row>
    <row r="14" spans="1:7">
      <c r="D14" s="737" t="s">
        <v>1802</v>
      </c>
    </row>
    <row r="19" spans="1:8">
      <c r="A19" s="941" t="s">
        <v>1570</v>
      </c>
      <c r="B19" s="4"/>
      <c r="C19" s="21"/>
      <c r="D19" s="21"/>
      <c r="E19" s="21"/>
      <c r="F19" s="4"/>
      <c r="G19" s="737"/>
      <c r="H19" s="737"/>
    </row>
    <row r="20" spans="1:8" s="737" customFormat="1">
      <c r="A20" s="941"/>
      <c r="B20" s="4" t="s">
        <v>1813</v>
      </c>
      <c r="C20" s="21"/>
      <c r="D20" s="21"/>
      <c r="E20" s="21"/>
      <c r="F20" s="4"/>
    </row>
    <row r="21" spans="1:8">
      <c r="A21" s="941" t="s">
        <v>1569</v>
      </c>
      <c r="B21" s="4"/>
      <c r="C21" s="631"/>
      <c r="D21" s="631"/>
      <c r="E21" s="631"/>
      <c r="F21" s="4"/>
      <c r="G21" s="737"/>
      <c r="H21" s="737"/>
    </row>
    <row r="22" spans="1:8" s="737" customFormat="1">
      <c r="A22" s="941"/>
      <c r="B22" s="4" t="s">
        <v>1814</v>
      </c>
      <c r="C22" s="631"/>
      <c r="D22" s="631"/>
      <c r="E22" s="631"/>
      <c r="F22" s="4"/>
    </row>
    <row r="23" spans="1:8">
      <c r="A23" s="941" t="s">
        <v>1568</v>
      </c>
      <c r="B23" s="4"/>
      <c r="C23" s="631"/>
      <c r="D23" s="631"/>
      <c r="E23" s="631"/>
      <c r="F23" s="4"/>
      <c r="G23" s="737"/>
      <c r="H23" s="737"/>
    </row>
  </sheetData>
  <pageMargins left="0.7" right="0.7" top="0.75" bottom="0.75" header="0.3" footer="0.3"/>
  <pageSetup paperSize="9" orientation="portrait" horizontalDpi="30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H811"/>
  <sheetViews>
    <sheetView topLeftCell="B1" zoomScale="115" zoomScaleNormal="115" workbookViewId="0">
      <selection activeCell="A22" sqref="A22"/>
    </sheetView>
  </sheetViews>
  <sheetFormatPr baseColWidth="10" defaultRowHeight="15"/>
  <cols>
    <col min="1" max="1" width="92.42578125" style="737" customWidth="1"/>
    <col min="2" max="2" width="136.7109375" style="737" bestFit="1" customWidth="1"/>
    <col min="3" max="3" width="125.28515625" style="717" customWidth="1"/>
    <col min="4" max="4" width="97.7109375" style="737" bestFit="1" customWidth="1"/>
    <col min="5" max="5" width="96.7109375" style="737" bestFit="1" customWidth="1"/>
    <col min="6" max="6" width="111.42578125" style="737" bestFit="1" customWidth="1"/>
    <col min="7" max="7" width="126" style="737" bestFit="1" customWidth="1"/>
    <col min="8" max="16384" width="11.42578125" style="737"/>
  </cols>
  <sheetData>
    <row r="1" spans="1:8" ht="15.75">
      <c r="A1" s="857" t="s">
        <v>1481</v>
      </c>
      <c r="B1" s="857" t="s">
        <v>1480</v>
      </c>
      <c r="C1" s="857" t="s">
        <v>1479</v>
      </c>
      <c r="D1" s="857" t="s">
        <v>1478</v>
      </c>
      <c r="E1" s="857" t="s">
        <v>1477</v>
      </c>
      <c r="F1" s="857" t="s">
        <v>1476</v>
      </c>
      <c r="G1" s="857" t="s">
        <v>1475</v>
      </c>
      <c r="H1" s="856" t="s">
        <v>1474</v>
      </c>
    </row>
    <row r="2" spans="1:8">
      <c r="A2" s="717" t="s">
        <v>1473</v>
      </c>
      <c r="B2" s="717" t="s">
        <v>1472</v>
      </c>
      <c r="C2" s="717" t="s">
        <v>1471</v>
      </c>
      <c r="D2" s="717" t="s">
        <v>1470</v>
      </c>
      <c r="E2" s="717" t="s">
        <v>1469</v>
      </c>
      <c r="F2" s="717" t="s">
        <v>1468</v>
      </c>
      <c r="G2" s="717" t="s">
        <v>1467</v>
      </c>
    </row>
    <row r="3" spans="1:8">
      <c r="A3" s="717" t="s">
        <v>1466</v>
      </c>
      <c r="B3" s="853" t="s">
        <v>1465</v>
      </c>
      <c r="C3" s="853" t="s">
        <v>1464</v>
      </c>
      <c r="D3" s="853" t="s">
        <v>1463</v>
      </c>
      <c r="E3" s="853" t="s">
        <v>1462</v>
      </c>
      <c r="F3" s="853" t="s">
        <v>1461</v>
      </c>
      <c r="G3" s="853" t="s">
        <v>1460</v>
      </c>
    </row>
    <row r="4" spans="1:8">
      <c r="A4" s="854" t="s">
        <v>1459</v>
      </c>
      <c r="B4" s="854" t="s">
        <v>1458</v>
      </c>
      <c r="C4" s="853" t="s">
        <v>1457</v>
      </c>
      <c r="D4" s="853" t="s">
        <v>1456</v>
      </c>
      <c r="E4" s="853" t="s">
        <v>1455</v>
      </c>
      <c r="F4" s="854" t="s">
        <v>1454</v>
      </c>
      <c r="G4" s="854" t="s">
        <v>1453</v>
      </c>
    </row>
    <row r="5" spans="1:8">
      <c r="A5" s="854" t="s">
        <v>1452</v>
      </c>
      <c r="B5" s="854" t="s">
        <v>1451</v>
      </c>
      <c r="C5" s="853" t="s">
        <v>1450</v>
      </c>
      <c r="D5" s="854" t="s">
        <v>1449</v>
      </c>
      <c r="E5" s="854" t="s">
        <v>1448</v>
      </c>
      <c r="F5" s="854" t="s">
        <v>1447</v>
      </c>
      <c r="G5" s="854" t="s">
        <v>1446</v>
      </c>
    </row>
    <row r="6" spans="1:8">
      <c r="A6" s="854" t="s">
        <v>1445</v>
      </c>
      <c r="B6" s="854" t="s">
        <v>1444</v>
      </c>
      <c r="C6" s="717" t="s">
        <v>1443</v>
      </c>
      <c r="D6" s="854" t="s">
        <v>1442</v>
      </c>
      <c r="E6" s="854" t="s">
        <v>1441</v>
      </c>
      <c r="F6" s="854" t="s">
        <v>1440</v>
      </c>
      <c r="G6" s="853" t="s">
        <v>1439</v>
      </c>
    </row>
    <row r="7" spans="1:8">
      <c r="A7" s="854" t="s">
        <v>1438</v>
      </c>
      <c r="B7" s="854" t="s">
        <v>1437</v>
      </c>
      <c r="C7" s="853" t="s">
        <v>1436</v>
      </c>
      <c r="D7" s="853" t="s">
        <v>1435</v>
      </c>
      <c r="E7" s="853" t="s">
        <v>1434</v>
      </c>
      <c r="F7" s="853" t="s">
        <v>1433</v>
      </c>
      <c r="G7" s="853" t="s">
        <v>1432</v>
      </c>
    </row>
    <row r="8" spans="1:8">
      <c r="A8" s="854" t="s">
        <v>1431</v>
      </c>
      <c r="B8" s="854" t="s">
        <v>1430</v>
      </c>
      <c r="C8" s="854" t="s">
        <v>1429</v>
      </c>
      <c r="D8" s="853" t="s">
        <v>1428</v>
      </c>
      <c r="E8" s="854" t="s">
        <v>1427</v>
      </c>
      <c r="F8" s="854" t="s">
        <v>1426</v>
      </c>
      <c r="G8" s="853" t="s">
        <v>1425</v>
      </c>
    </row>
    <row r="9" spans="1:8">
      <c r="A9" s="854" t="s">
        <v>1424</v>
      </c>
      <c r="B9" s="853" t="s">
        <v>1423</v>
      </c>
      <c r="C9" s="854" t="s">
        <v>1422</v>
      </c>
      <c r="D9" s="854" t="s">
        <v>1421</v>
      </c>
      <c r="E9" s="854" t="s">
        <v>1420</v>
      </c>
      <c r="F9" s="854" t="s">
        <v>1419</v>
      </c>
      <c r="G9" s="854" t="s">
        <v>1418</v>
      </c>
    </row>
    <row r="10" spans="1:8">
      <c r="A10" s="853" t="s">
        <v>1417</v>
      </c>
      <c r="B10" s="853" t="s">
        <v>1416</v>
      </c>
      <c r="C10" s="853" t="s">
        <v>1415</v>
      </c>
      <c r="D10" s="854" t="s">
        <v>1414</v>
      </c>
      <c r="E10" s="853" t="s">
        <v>1413</v>
      </c>
      <c r="F10" s="854" t="s">
        <v>1412</v>
      </c>
      <c r="G10" s="854" t="s">
        <v>1411</v>
      </c>
    </row>
    <row r="11" spans="1:8">
      <c r="A11" s="717" t="s">
        <v>1410</v>
      </c>
      <c r="B11" s="853" t="s">
        <v>1409</v>
      </c>
      <c r="C11" s="854" t="s">
        <v>1408</v>
      </c>
      <c r="D11" s="853" t="s">
        <v>1407</v>
      </c>
      <c r="E11" s="853" t="s">
        <v>1406</v>
      </c>
      <c r="F11" s="854" t="s">
        <v>1405</v>
      </c>
      <c r="G11" s="853" t="s">
        <v>1404</v>
      </c>
    </row>
    <row r="12" spans="1:8">
      <c r="A12" s="854" t="s">
        <v>1403</v>
      </c>
      <c r="B12" s="853" t="s">
        <v>1402</v>
      </c>
      <c r="C12" s="854" t="s">
        <v>1401</v>
      </c>
      <c r="D12" s="853" t="s">
        <v>1400</v>
      </c>
      <c r="E12" s="853" t="s">
        <v>1399</v>
      </c>
      <c r="F12" s="854" t="s">
        <v>1398</v>
      </c>
      <c r="G12" s="853" t="s">
        <v>1397</v>
      </c>
    </row>
    <row r="13" spans="1:8">
      <c r="A13" s="854" t="s">
        <v>1396</v>
      </c>
      <c r="B13" s="854" t="s">
        <v>1395</v>
      </c>
      <c r="C13" s="854" t="s">
        <v>1394</v>
      </c>
      <c r="D13" s="854" t="s">
        <v>1393</v>
      </c>
      <c r="E13" s="854" t="s">
        <v>1392</v>
      </c>
      <c r="F13" s="854" t="s">
        <v>1391</v>
      </c>
      <c r="G13" s="853" t="s">
        <v>1390</v>
      </c>
    </row>
    <row r="14" spans="1:8">
      <c r="A14" s="854" t="s">
        <v>1389</v>
      </c>
      <c r="B14" s="853" t="s">
        <v>1388</v>
      </c>
      <c r="C14" s="854" t="s">
        <v>1387</v>
      </c>
      <c r="D14" s="854" t="s">
        <v>1386</v>
      </c>
      <c r="E14" s="854" t="s">
        <v>1385</v>
      </c>
      <c r="F14" s="854" t="s">
        <v>1384</v>
      </c>
      <c r="G14" s="854" t="s">
        <v>1383</v>
      </c>
    </row>
    <row r="15" spans="1:8">
      <c r="A15" s="854" t="s">
        <v>1382</v>
      </c>
      <c r="B15" s="717" t="s">
        <v>1381</v>
      </c>
      <c r="C15" s="854" t="s">
        <v>1380</v>
      </c>
      <c r="D15" s="854" t="s">
        <v>1379</v>
      </c>
      <c r="E15" s="853" t="s">
        <v>1378</v>
      </c>
      <c r="F15" s="854" t="s">
        <v>1377</v>
      </c>
      <c r="G15" s="854" t="s">
        <v>1376</v>
      </c>
    </row>
    <row r="16" spans="1:8">
      <c r="A16" s="854" t="s">
        <v>1375</v>
      </c>
      <c r="B16" s="853" t="s">
        <v>1374</v>
      </c>
      <c r="C16" s="853" t="s">
        <v>1373</v>
      </c>
      <c r="D16" s="853" t="s">
        <v>1372</v>
      </c>
      <c r="E16" s="853" t="s">
        <v>1371</v>
      </c>
      <c r="F16" s="854" t="s">
        <v>1370</v>
      </c>
      <c r="G16" s="853" t="s">
        <v>1369</v>
      </c>
    </row>
    <row r="17" spans="1:7">
      <c r="A17" s="717" t="s">
        <v>1368</v>
      </c>
      <c r="B17" s="854" t="s">
        <v>1367</v>
      </c>
      <c r="C17" s="854" t="s">
        <v>1366</v>
      </c>
      <c r="D17" s="854" t="s">
        <v>1365</v>
      </c>
      <c r="E17" s="854" t="s">
        <v>1364</v>
      </c>
      <c r="F17" s="854" t="s">
        <v>1363</v>
      </c>
      <c r="G17" s="854" t="s">
        <v>1362</v>
      </c>
    </row>
    <row r="18" spans="1:7">
      <c r="A18" s="854" t="s">
        <v>1361</v>
      </c>
      <c r="B18" s="854" t="s">
        <v>1360</v>
      </c>
      <c r="C18" s="854" t="s">
        <v>1359</v>
      </c>
      <c r="D18" s="854" t="s">
        <v>1358</v>
      </c>
      <c r="E18" s="854" t="s">
        <v>1357</v>
      </c>
      <c r="F18" s="854" t="s">
        <v>1356</v>
      </c>
      <c r="G18" s="854" t="s">
        <v>1355</v>
      </c>
    </row>
    <row r="19" spans="1:7">
      <c r="A19" s="854" t="s">
        <v>1354</v>
      </c>
      <c r="B19" s="854" t="s">
        <v>1353</v>
      </c>
      <c r="C19" s="854" t="s">
        <v>1352</v>
      </c>
      <c r="D19" s="854" t="s">
        <v>1351</v>
      </c>
      <c r="E19" s="854" t="s">
        <v>1350</v>
      </c>
      <c r="F19" s="854" t="s">
        <v>1349</v>
      </c>
      <c r="G19" s="854" t="s">
        <v>1348</v>
      </c>
    </row>
    <row r="20" spans="1:7">
      <c r="A20" s="854" t="s">
        <v>1347</v>
      </c>
      <c r="B20" s="854" t="s">
        <v>1346</v>
      </c>
      <c r="C20" s="717" t="s">
        <v>1345</v>
      </c>
      <c r="D20" s="854" t="s">
        <v>1344</v>
      </c>
      <c r="E20" s="853" t="s">
        <v>1343</v>
      </c>
      <c r="F20" s="854" t="s">
        <v>1342</v>
      </c>
      <c r="G20" s="854" t="s">
        <v>1341</v>
      </c>
    </row>
    <row r="21" spans="1:7">
      <c r="A21" s="854" t="s">
        <v>1340</v>
      </c>
      <c r="B21" s="854" t="s">
        <v>1339</v>
      </c>
      <c r="C21" s="853" t="s">
        <v>1338</v>
      </c>
      <c r="D21" s="854" t="s">
        <v>1337</v>
      </c>
      <c r="E21" s="717" t="s">
        <v>1336</v>
      </c>
      <c r="F21" s="853" t="s">
        <v>1335</v>
      </c>
      <c r="G21" s="854" t="s">
        <v>1334</v>
      </c>
    </row>
    <row r="22" spans="1:7">
      <c r="A22" s="854" t="s">
        <v>1333</v>
      </c>
      <c r="B22" s="854" t="s">
        <v>1332</v>
      </c>
      <c r="C22" s="854" t="s">
        <v>1331</v>
      </c>
      <c r="D22" s="854" t="s">
        <v>1330</v>
      </c>
      <c r="E22" s="853" t="s">
        <v>1329</v>
      </c>
      <c r="F22" s="853" t="s">
        <v>1328</v>
      </c>
      <c r="G22" s="854" t="s">
        <v>1327</v>
      </c>
    </row>
    <row r="23" spans="1:7">
      <c r="A23" s="854" t="s">
        <v>1326</v>
      </c>
      <c r="B23" s="854" t="s">
        <v>1325</v>
      </c>
      <c r="C23" s="854" t="s">
        <v>1324</v>
      </c>
      <c r="D23" s="717" t="s">
        <v>1323</v>
      </c>
      <c r="E23" s="854" t="s">
        <v>1322</v>
      </c>
      <c r="F23" s="853" t="s">
        <v>1321</v>
      </c>
      <c r="G23" s="854" t="s">
        <v>1320</v>
      </c>
    </row>
    <row r="24" spans="1:7">
      <c r="A24" s="717" t="s">
        <v>1319</v>
      </c>
      <c r="B24" s="854" t="s">
        <v>1318</v>
      </c>
      <c r="C24" s="853" t="s">
        <v>1317</v>
      </c>
      <c r="D24" s="853" t="s">
        <v>1316</v>
      </c>
      <c r="E24" s="854" t="s">
        <v>1315</v>
      </c>
      <c r="F24" s="854" t="s">
        <v>1314</v>
      </c>
      <c r="G24" s="854" t="s">
        <v>1313</v>
      </c>
    </row>
    <row r="25" spans="1:7">
      <c r="A25" s="854" t="s">
        <v>1312</v>
      </c>
      <c r="B25" s="854" t="s">
        <v>1311</v>
      </c>
      <c r="C25" s="854" t="s">
        <v>1310</v>
      </c>
      <c r="D25" s="853" t="s">
        <v>1309</v>
      </c>
      <c r="E25" s="854" t="s">
        <v>1308</v>
      </c>
      <c r="F25" s="854" t="s">
        <v>1307</v>
      </c>
      <c r="G25" s="853" t="s">
        <v>1306</v>
      </c>
    </row>
    <row r="26" spans="1:7">
      <c r="A26" s="854" t="s">
        <v>1305</v>
      </c>
      <c r="B26" s="854" t="s">
        <v>1304</v>
      </c>
      <c r="C26" s="854" t="s">
        <v>1303</v>
      </c>
      <c r="D26" s="854" t="s">
        <v>1302</v>
      </c>
      <c r="E26" s="854" t="s">
        <v>1301</v>
      </c>
      <c r="F26" s="854" t="s">
        <v>1300</v>
      </c>
      <c r="G26" s="854" t="s">
        <v>1299</v>
      </c>
    </row>
    <row r="27" spans="1:7">
      <c r="A27" s="854" t="s">
        <v>1298</v>
      </c>
      <c r="B27" s="854" t="s">
        <v>1297</v>
      </c>
      <c r="C27" s="717" t="s">
        <v>1296</v>
      </c>
      <c r="D27" s="854" t="s">
        <v>1295</v>
      </c>
      <c r="E27" s="853" t="s">
        <v>1294</v>
      </c>
      <c r="F27" s="854" t="s">
        <v>1293</v>
      </c>
      <c r="G27" s="854" t="s">
        <v>1292</v>
      </c>
    </row>
    <row r="28" spans="1:7">
      <c r="A28" s="854" t="s">
        <v>1291</v>
      </c>
      <c r="B28" s="854" t="s">
        <v>1290</v>
      </c>
      <c r="C28" s="853" t="s">
        <v>1289</v>
      </c>
      <c r="D28" s="853" t="s">
        <v>1288</v>
      </c>
      <c r="E28" s="854" t="s">
        <v>1287</v>
      </c>
      <c r="F28" s="853" t="s">
        <v>1286</v>
      </c>
      <c r="G28" s="854" t="s">
        <v>1285</v>
      </c>
    </row>
    <row r="29" spans="1:7">
      <c r="A29" s="854" t="s">
        <v>1284</v>
      </c>
      <c r="B29" s="853" t="s">
        <v>1283</v>
      </c>
      <c r="C29" s="854" t="s">
        <v>1282</v>
      </c>
      <c r="D29" s="853" t="s">
        <v>1281</v>
      </c>
      <c r="E29" s="854" t="s">
        <v>1280</v>
      </c>
      <c r="F29" s="854" t="s">
        <v>1279</v>
      </c>
      <c r="G29" s="854" t="s">
        <v>1278</v>
      </c>
    </row>
    <row r="30" spans="1:7">
      <c r="A30" s="854" t="s">
        <v>1277</v>
      </c>
      <c r="B30" s="853" t="s">
        <v>1276</v>
      </c>
      <c r="C30" s="854" t="s">
        <v>1275</v>
      </c>
      <c r="D30" s="853" t="s">
        <v>1274</v>
      </c>
      <c r="E30" s="853" t="s">
        <v>1273</v>
      </c>
      <c r="F30" s="854" t="s">
        <v>1272</v>
      </c>
      <c r="G30" s="854" t="s">
        <v>1271</v>
      </c>
    </row>
    <row r="31" spans="1:7">
      <c r="A31" s="854" t="s">
        <v>1270</v>
      </c>
      <c r="B31" s="854" t="s">
        <v>1269</v>
      </c>
      <c r="C31" s="853" t="s">
        <v>1268</v>
      </c>
      <c r="D31" s="854" t="s">
        <v>1267</v>
      </c>
      <c r="E31" s="853" t="s">
        <v>1266</v>
      </c>
      <c r="F31" s="853" t="s">
        <v>1265</v>
      </c>
      <c r="G31" s="854" t="s">
        <v>1264</v>
      </c>
    </row>
    <row r="32" spans="1:7">
      <c r="A32" s="854" t="s">
        <v>1263</v>
      </c>
      <c r="B32" s="854" t="s">
        <v>1262</v>
      </c>
      <c r="C32" s="854" t="s">
        <v>1261</v>
      </c>
      <c r="D32" s="854" t="s">
        <v>1260</v>
      </c>
      <c r="E32" s="853" t="s">
        <v>1259</v>
      </c>
      <c r="F32" s="853" t="s">
        <v>1258</v>
      </c>
      <c r="G32" s="854" t="s">
        <v>1257</v>
      </c>
    </row>
    <row r="33" spans="1:7">
      <c r="A33" s="854" t="s">
        <v>1256</v>
      </c>
      <c r="B33" s="854" t="s">
        <v>1255</v>
      </c>
      <c r="C33" s="854" t="s">
        <v>1254</v>
      </c>
      <c r="D33" s="853" t="s">
        <v>1253</v>
      </c>
      <c r="E33" s="853" t="s">
        <v>1252</v>
      </c>
      <c r="F33" s="854" t="s">
        <v>1251</v>
      </c>
      <c r="G33" s="717" t="s">
        <v>1250</v>
      </c>
    </row>
    <row r="34" spans="1:7">
      <c r="A34" s="854" t="s">
        <v>1249</v>
      </c>
      <c r="B34" s="854" t="s">
        <v>1248</v>
      </c>
      <c r="C34" s="717" t="s">
        <v>1247</v>
      </c>
      <c r="D34" s="854" t="s">
        <v>1246</v>
      </c>
      <c r="E34" s="853" t="s">
        <v>1245</v>
      </c>
      <c r="F34" s="854" t="s">
        <v>1244</v>
      </c>
      <c r="G34" s="853" t="s">
        <v>1243</v>
      </c>
    </row>
    <row r="35" spans="1:7">
      <c r="A35" s="854" t="s">
        <v>1242</v>
      </c>
      <c r="B35" s="854" t="s">
        <v>1241</v>
      </c>
      <c r="C35" s="853" t="s">
        <v>1240</v>
      </c>
      <c r="D35" s="854" t="s">
        <v>1239</v>
      </c>
      <c r="E35" s="854" t="s">
        <v>1238</v>
      </c>
      <c r="F35" s="854" t="s">
        <v>1237</v>
      </c>
      <c r="G35" s="854" t="s">
        <v>1236</v>
      </c>
    </row>
    <row r="36" spans="1:7">
      <c r="A36" s="854" t="s">
        <v>1235</v>
      </c>
      <c r="B36" s="854" t="s">
        <v>1234</v>
      </c>
      <c r="C36" s="854" t="s">
        <v>1233</v>
      </c>
      <c r="D36" s="854" t="s">
        <v>1232</v>
      </c>
      <c r="E36" s="854" t="s">
        <v>1231</v>
      </c>
      <c r="F36" s="854" t="s">
        <v>1230</v>
      </c>
      <c r="G36" s="854" t="s">
        <v>1229</v>
      </c>
    </row>
    <row r="37" spans="1:7">
      <c r="A37" s="717" t="s">
        <v>1228</v>
      </c>
      <c r="B37" s="854" t="s">
        <v>1227</v>
      </c>
      <c r="C37" s="854" t="s">
        <v>1226</v>
      </c>
      <c r="D37" s="854" t="s">
        <v>1225</v>
      </c>
      <c r="E37" s="853" t="s">
        <v>1224</v>
      </c>
      <c r="F37" s="854" t="s">
        <v>1223</v>
      </c>
      <c r="G37" s="854" t="s">
        <v>1222</v>
      </c>
    </row>
    <row r="38" spans="1:7">
      <c r="A38" s="717" t="s">
        <v>1221</v>
      </c>
      <c r="B38" s="854" t="s">
        <v>1220</v>
      </c>
      <c r="C38" s="853" t="s">
        <v>1219</v>
      </c>
      <c r="D38" s="717" t="s">
        <v>1218</v>
      </c>
      <c r="E38" s="854" t="s">
        <v>1217</v>
      </c>
      <c r="F38" s="854" t="s">
        <v>1216</v>
      </c>
      <c r="G38" s="854" t="s">
        <v>1215</v>
      </c>
    </row>
    <row r="39" spans="1:7">
      <c r="A39" s="717" t="s">
        <v>1214</v>
      </c>
      <c r="B39" s="854" t="s">
        <v>1213</v>
      </c>
      <c r="C39" s="854" t="s">
        <v>1212</v>
      </c>
      <c r="D39" s="853" t="s">
        <v>1211</v>
      </c>
      <c r="E39" s="854" t="s">
        <v>1210</v>
      </c>
      <c r="F39" s="854" t="s">
        <v>1209</v>
      </c>
      <c r="G39" s="854" t="s">
        <v>1208</v>
      </c>
    </row>
    <row r="40" spans="1:7">
      <c r="A40" s="717" t="s">
        <v>1207</v>
      </c>
      <c r="B40" s="854" t="s">
        <v>1206</v>
      </c>
      <c r="C40" s="854" t="s">
        <v>1205</v>
      </c>
      <c r="D40" s="853" t="s">
        <v>1204</v>
      </c>
      <c r="E40" s="854" t="s">
        <v>1203</v>
      </c>
      <c r="F40" s="853" t="s">
        <v>1202</v>
      </c>
      <c r="G40" s="854" t="s">
        <v>1201</v>
      </c>
    </row>
    <row r="41" spans="1:7">
      <c r="A41" s="853" t="s">
        <v>1200</v>
      </c>
      <c r="B41" s="854" t="s">
        <v>1199</v>
      </c>
      <c r="C41" s="853" t="s">
        <v>1198</v>
      </c>
      <c r="D41" s="853" t="s">
        <v>1197</v>
      </c>
      <c r="E41" s="717" t="s">
        <v>1196</v>
      </c>
      <c r="F41" s="854" t="s">
        <v>1195</v>
      </c>
      <c r="G41" s="854" t="s">
        <v>1194</v>
      </c>
    </row>
    <row r="42" spans="1:7">
      <c r="A42" s="853" t="s">
        <v>1193</v>
      </c>
      <c r="B42" s="854" t="s">
        <v>1192</v>
      </c>
      <c r="C42" s="854" t="s">
        <v>1191</v>
      </c>
      <c r="D42" s="854" t="s">
        <v>1190</v>
      </c>
      <c r="E42" s="717" t="s">
        <v>1189</v>
      </c>
      <c r="F42" s="854" t="s">
        <v>1188</v>
      </c>
      <c r="G42" s="854" t="s">
        <v>1187</v>
      </c>
    </row>
    <row r="43" spans="1:7">
      <c r="A43" s="717" t="s">
        <v>1186</v>
      </c>
      <c r="B43" s="854" t="s">
        <v>1185</v>
      </c>
      <c r="C43" s="854" t="s">
        <v>1184</v>
      </c>
      <c r="D43" s="854" t="s">
        <v>1183</v>
      </c>
      <c r="E43" s="853" t="s">
        <v>1182</v>
      </c>
      <c r="F43" s="854" t="s">
        <v>1181</v>
      </c>
      <c r="G43" s="854" t="s">
        <v>1180</v>
      </c>
    </row>
    <row r="44" spans="1:7">
      <c r="A44" s="853" t="s">
        <v>1179</v>
      </c>
      <c r="B44" s="853" t="s">
        <v>1178</v>
      </c>
      <c r="C44" s="854" t="s">
        <v>1177</v>
      </c>
      <c r="D44" s="853" t="s">
        <v>1176</v>
      </c>
      <c r="E44" s="854" t="s">
        <v>1175</v>
      </c>
      <c r="F44" s="717" t="s">
        <v>1174</v>
      </c>
      <c r="G44" s="854" t="s">
        <v>1173</v>
      </c>
    </row>
    <row r="45" spans="1:7">
      <c r="A45" s="853" t="s">
        <v>1172</v>
      </c>
      <c r="B45" s="853" t="s">
        <v>1171</v>
      </c>
      <c r="C45" s="717" t="s">
        <v>1170</v>
      </c>
      <c r="D45" s="853" t="s">
        <v>1169</v>
      </c>
      <c r="E45" s="854" t="s">
        <v>1168</v>
      </c>
      <c r="F45" s="717" t="s">
        <v>1167</v>
      </c>
      <c r="G45" s="717" t="s">
        <v>1166</v>
      </c>
    </row>
    <row r="46" spans="1:7">
      <c r="A46" s="717" t="s">
        <v>1165</v>
      </c>
      <c r="B46" s="854" t="s">
        <v>1164</v>
      </c>
      <c r="C46" s="717" t="s">
        <v>1163</v>
      </c>
      <c r="D46" s="853" t="s">
        <v>1162</v>
      </c>
      <c r="E46" s="853" t="s">
        <v>1161</v>
      </c>
      <c r="F46" s="853" t="s">
        <v>1160</v>
      </c>
      <c r="G46" s="853" t="s">
        <v>1159</v>
      </c>
    </row>
    <row r="47" spans="1:7">
      <c r="A47" s="853" t="s">
        <v>1158</v>
      </c>
      <c r="B47" s="854" t="s">
        <v>1157</v>
      </c>
      <c r="C47" s="853" t="s">
        <v>1156</v>
      </c>
      <c r="D47" s="853" t="s">
        <v>1155</v>
      </c>
      <c r="E47" s="853" t="s">
        <v>1154</v>
      </c>
      <c r="F47" s="853" t="s">
        <v>1153</v>
      </c>
      <c r="G47" s="853" t="s">
        <v>1152</v>
      </c>
    </row>
    <row r="48" spans="1:7">
      <c r="A48" s="854" t="s">
        <v>1151</v>
      </c>
      <c r="B48" s="854" t="s">
        <v>1150</v>
      </c>
      <c r="C48" s="853" t="s">
        <v>1149</v>
      </c>
      <c r="D48" s="854" t="s">
        <v>1148</v>
      </c>
      <c r="E48" s="717" t="s">
        <v>1147</v>
      </c>
      <c r="F48" s="854" t="s">
        <v>1146</v>
      </c>
      <c r="G48" s="853" t="s">
        <v>1145</v>
      </c>
    </row>
    <row r="49" spans="1:7">
      <c r="A49" s="854" t="s">
        <v>1144</v>
      </c>
      <c r="B49" s="854" t="s">
        <v>1143</v>
      </c>
      <c r="C49" s="717" t="s">
        <v>1142</v>
      </c>
      <c r="D49" s="854" t="s">
        <v>1141</v>
      </c>
      <c r="E49" s="717" t="s">
        <v>1140</v>
      </c>
      <c r="F49" s="854" t="s">
        <v>1139</v>
      </c>
      <c r="G49" s="853" t="s">
        <v>1138</v>
      </c>
    </row>
    <row r="50" spans="1:7">
      <c r="A50" s="854" t="s">
        <v>1137</v>
      </c>
      <c r="B50" s="854" t="s">
        <v>1136</v>
      </c>
      <c r="C50" s="717" t="s">
        <v>1135</v>
      </c>
      <c r="D50" s="854" t="s">
        <v>1134</v>
      </c>
      <c r="E50" s="717" t="s">
        <v>1133</v>
      </c>
      <c r="F50" s="853" t="s">
        <v>1132</v>
      </c>
      <c r="G50" s="717" t="s">
        <v>1131</v>
      </c>
    </row>
    <row r="51" spans="1:7">
      <c r="A51" s="854" t="s">
        <v>1130</v>
      </c>
      <c r="B51" s="854" t="s">
        <v>1129</v>
      </c>
      <c r="C51" s="853" t="s">
        <v>1128</v>
      </c>
      <c r="D51" s="854" t="s">
        <v>1127</v>
      </c>
      <c r="E51" s="853" t="s">
        <v>1126</v>
      </c>
      <c r="F51" s="854" t="s">
        <v>1125</v>
      </c>
      <c r="G51" s="717" t="s">
        <v>1124</v>
      </c>
    </row>
    <row r="52" spans="1:7">
      <c r="A52" s="854" t="s">
        <v>1123</v>
      </c>
      <c r="B52" s="854" t="s">
        <v>1122</v>
      </c>
      <c r="C52" s="854" t="s">
        <v>1121</v>
      </c>
      <c r="D52" s="717" t="s">
        <v>1120</v>
      </c>
      <c r="E52" s="854" t="s">
        <v>1119</v>
      </c>
      <c r="F52" s="854" t="s">
        <v>1118</v>
      </c>
      <c r="G52" s="853" t="s">
        <v>1117</v>
      </c>
    </row>
    <row r="53" spans="1:7">
      <c r="A53" s="854" t="s">
        <v>1116</v>
      </c>
      <c r="B53" s="854" t="s">
        <v>1115</v>
      </c>
      <c r="C53" s="854" t="s">
        <v>1114</v>
      </c>
      <c r="D53" s="853" t="s">
        <v>1113</v>
      </c>
      <c r="E53" s="854" t="s">
        <v>1112</v>
      </c>
      <c r="F53" s="854" t="s">
        <v>1111</v>
      </c>
      <c r="G53" s="854" t="s">
        <v>1110</v>
      </c>
    </row>
    <row r="54" spans="1:7">
      <c r="A54" s="854" t="s">
        <v>1109</v>
      </c>
      <c r="B54" s="854" t="s">
        <v>1108</v>
      </c>
      <c r="C54" s="854" t="s">
        <v>1107</v>
      </c>
      <c r="D54" s="853" t="s">
        <v>1106</v>
      </c>
      <c r="E54" s="854" t="s">
        <v>1105</v>
      </c>
      <c r="F54" s="853" t="s">
        <v>1104</v>
      </c>
      <c r="G54" s="854" t="s">
        <v>1103</v>
      </c>
    </row>
    <row r="55" spans="1:7">
      <c r="A55" s="854" t="s">
        <v>1102</v>
      </c>
      <c r="B55" s="853" t="s">
        <v>1101</v>
      </c>
      <c r="C55" s="853" t="s">
        <v>1100</v>
      </c>
      <c r="D55" s="853" t="s">
        <v>1099</v>
      </c>
      <c r="E55" s="854" t="s">
        <v>1098</v>
      </c>
      <c r="F55" s="853" t="s">
        <v>1097</v>
      </c>
      <c r="G55" s="854" t="s">
        <v>1096</v>
      </c>
    </row>
    <row r="56" spans="1:7">
      <c r="A56" s="853" t="s">
        <v>1095</v>
      </c>
      <c r="B56" s="854" t="s">
        <v>1094</v>
      </c>
      <c r="C56" s="854" t="s">
        <v>1093</v>
      </c>
      <c r="D56" s="854" t="s">
        <v>1092</v>
      </c>
      <c r="F56" s="854" t="s">
        <v>1091</v>
      </c>
      <c r="G56" s="853" t="s">
        <v>1090</v>
      </c>
    </row>
    <row r="57" spans="1:7">
      <c r="A57" s="853" t="s">
        <v>1089</v>
      </c>
      <c r="B57" s="854" t="s">
        <v>1088</v>
      </c>
      <c r="C57" s="854" t="s">
        <v>1087</v>
      </c>
      <c r="D57" s="854" t="s">
        <v>1086</v>
      </c>
      <c r="F57" s="854" t="s">
        <v>1085</v>
      </c>
      <c r="G57" s="853" t="s">
        <v>1084</v>
      </c>
    </row>
    <row r="58" spans="1:7">
      <c r="A58" s="854" t="s">
        <v>1083</v>
      </c>
      <c r="B58" s="854" t="s">
        <v>1082</v>
      </c>
      <c r="C58" s="854" t="s">
        <v>1081</v>
      </c>
      <c r="D58" s="854" t="s">
        <v>1080</v>
      </c>
      <c r="F58" s="854" t="s">
        <v>1079</v>
      </c>
      <c r="G58" s="853" t="s">
        <v>1078</v>
      </c>
    </row>
    <row r="59" spans="1:7">
      <c r="A59" s="854" t="s">
        <v>1077</v>
      </c>
      <c r="B59" s="854" t="s">
        <v>1076</v>
      </c>
      <c r="C59" s="853" t="s">
        <v>1075</v>
      </c>
      <c r="D59" s="717" t="s">
        <v>1074</v>
      </c>
      <c r="F59" s="853" t="s">
        <v>1073</v>
      </c>
      <c r="G59" s="853" t="s">
        <v>1072</v>
      </c>
    </row>
    <row r="60" spans="1:7">
      <c r="A60" s="854" t="s">
        <v>1071</v>
      </c>
      <c r="B60" s="854" t="s">
        <v>1070</v>
      </c>
      <c r="C60" s="854" t="s">
        <v>1069</v>
      </c>
      <c r="D60" s="853" t="s">
        <v>1068</v>
      </c>
      <c r="F60" s="854" t="s">
        <v>1067</v>
      </c>
      <c r="G60" s="854" t="s">
        <v>1066</v>
      </c>
    </row>
    <row r="61" spans="1:7">
      <c r="A61" s="854" t="s">
        <v>1065</v>
      </c>
      <c r="B61" s="854" t="s">
        <v>1064</v>
      </c>
      <c r="C61" s="854" t="s">
        <v>1063</v>
      </c>
      <c r="D61" s="854" t="s">
        <v>1062</v>
      </c>
      <c r="F61" s="854" t="s">
        <v>1061</v>
      </c>
      <c r="G61" s="854" t="s">
        <v>1060</v>
      </c>
    </row>
    <row r="62" spans="1:7">
      <c r="A62" s="854" t="s">
        <v>1059</v>
      </c>
      <c r="B62" s="717" t="s">
        <v>1058</v>
      </c>
      <c r="C62" s="853" t="s">
        <v>1057</v>
      </c>
      <c r="D62" s="854" t="s">
        <v>1056</v>
      </c>
      <c r="F62" s="854" t="s">
        <v>1055</v>
      </c>
      <c r="G62" s="853" t="s">
        <v>1054</v>
      </c>
    </row>
    <row r="63" spans="1:7">
      <c r="A63" s="854" t="s">
        <v>1053</v>
      </c>
      <c r="B63" s="717" t="s">
        <v>1052</v>
      </c>
      <c r="C63" s="854" t="s">
        <v>1051</v>
      </c>
      <c r="D63" s="854" t="s">
        <v>1050</v>
      </c>
      <c r="F63" s="854" t="s">
        <v>1049</v>
      </c>
      <c r="G63" s="717" t="s">
        <v>1048</v>
      </c>
    </row>
    <row r="64" spans="1:7">
      <c r="A64" s="854" t="s">
        <v>1047</v>
      </c>
      <c r="B64" s="853" t="s">
        <v>1046</v>
      </c>
      <c r="C64" s="854" t="s">
        <v>1045</v>
      </c>
      <c r="D64" s="854" t="s">
        <v>1044</v>
      </c>
      <c r="F64" s="854" t="s">
        <v>1043</v>
      </c>
      <c r="G64" s="853" t="s">
        <v>1042</v>
      </c>
    </row>
    <row r="65" spans="1:7">
      <c r="A65" s="854" t="s">
        <v>1041</v>
      </c>
      <c r="B65" s="854" t="s">
        <v>1040</v>
      </c>
      <c r="C65" s="853" t="s">
        <v>1039</v>
      </c>
      <c r="D65" s="853" t="s">
        <v>1038</v>
      </c>
      <c r="F65" s="854" t="s">
        <v>1037</v>
      </c>
      <c r="G65" s="854" t="s">
        <v>1036</v>
      </c>
    </row>
    <row r="66" spans="1:7">
      <c r="A66" s="854" t="s">
        <v>1035</v>
      </c>
      <c r="B66" s="854" t="s">
        <v>1034</v>
      </c>
      <c r="C66" s="854" t="s">
        <v>1033</v>
      </c>
      <c r="D66" s="854" t="s">
        <v>1032</v>
      </c>
      <c r="F66" s="854" t="s">
        <v>1031</v>
      </c>
      <c r="G66" s="854" t="s">
        <v>1030</v>
      </c>
    </row>
    <row r="67" spans="1:7">
      <c r="A67" s="854" t="s">
        <v>1029</v>
      </c>
      <c r="B67" s="854" t="s">
        <v>1028</v>
      </c>
      <c r="C67" s="854" t="s">
        <v>1027</v>
      </c>
      <c r="D67" s="854" t="s">
        <v>1026</v>
      </c>
      <c r="F67" s="854" t="s">
        <v>1025</v>
      </c>
      <c r="G67" s="854" t="s">
        <v>1024</v>
      </c>
    </row>
    <row r="68" spans="1:7">
      <c r="A68" s="717" t="s">
        <v>1023</v>
      </c>
      <c r="B68" s="854" t="s">
        <v>1022</v>
      </c>
      <c r="C68" s="853" t="s">
        <v>1021</v>
      </c>
      <c r="D68" s="853" t="s">
        <v>1020</v>
      </c>
      <c r="F68" s="853" t="s">
        <v>1019</v>
      </c>
      <c r="G68" s="854" t="s">
        <v>1018</v>
      </c>
    </row>
    <row r="69" spans="1:7">
      <c r="A69" s="853" t="s">
        <v>1017</v>
      </c>
      <c r="B69" s="853" t="s">
        <v>1016</v>
      </c>
      <c r="C69" s="854" t="s">
        <v>1015</v>
      </c>
      <c r="D69" s="854" t="s">
        <v>1014</v>
      </c>
      <c r="F69" s="853" t="s">
        <v>1013</v>
      </c>
      <c r="G69" s="853" t="s">
        <v>1012</v>
      </c>
    </row>
    <row r="70" spans="1:7">
      <c r="A70" s="854" t="s">
        <v>1011</v>
      </c>
      <c r="B70" s="853" t="s">
        <v>1010</v>
      </c>
      <c r="C70" s="854" t="s">
        <v>1009</v>
      </c>
      <c r="D70" s="854" t="s">
        <v>1008</v>
      </c>
      <c r="F70" s="854" t="s">
        <v>1007</v>
      </c>
      <c r="G70" s="854" t="s">
        <v>1006</v>
      </c>
    </row>
    <row r="71" spans="1:7">
      <c r="A71" s="854" t="s">
        <v>1005</v>
      </c>
      <c r="B71" s="853" t="s">
        <v>1004</v>
      </c>
      <c r="D71" s="853" t="s">
        <v>1003</v>
      </c>
      <c r="F71" s="854" t="s">
        <v>1002</v>
      </c>
      <c r="G71" s="854" t="s">
        <v>1001</v>
      </c>
    </row>
    <row r="72" spans="1:7">
      <c r="A72" s="853" t="s">
        <v>1000</v>
      </c>
      <c r="B72" s="854" t="s">
        <v>999</v>
      </c>
      <c r="D72" s="853" t="s">
        <v>998</v>
      </c>
      <c r="F72" s="854" t="s">
        <v>997</v>
      </c>
      <c r="G72" s="854" t="s">
        <v>996</v>
      </c>
    </row>
    <row r="73" spans="1:7">
      <c r="A73" s="854" t="s">
        <v>995</v>
      </c>
      <c r="B73" s="854" t="s">
        <v>994</v>
      </c>
      <c r="D73" s="854" t="s">
        <v>993</v>
      </c>
      <c r="F73" s="853" t="s">
        <v>992</v>
      </c>
      <c r="G73" s="853" t="s">
        <v>991</v>
      </c>
    </row>
    <row r="74" spans="1:7">
      <c r="A74" s="854" t="s">
        <v>990</v>
      </c>
      <c r="B74" s="854" t="s">
        <v>989</v>
      </c>
      <c r="D74" s="854" t="s">
        <v>988</v>
      </c>
      <c r="F74" s="717" t="s">
        <v>987</v>
      </c>
      <c r="G74" s="854" t="s">
        <v>986</v>
      </c>
    </row>
    <row r="75" spans="1:7">
      <c r="A75" s="853" t="s">
        <v>985</v>
      </c>
      <c r="B75" s="854" t="s">
        <v>984</v>
      </c>
      <c r="D75" s="854" t="s">
        <v>983</v>
      </c>
      <c r="F75" s="853" t="s">
        <v>982</v>
      </c>
      <c r="G75" s="854" t="s">
        <v>981</v>
      </c>
    </row>
    <row r="76" spans="1:7">
      <c r="A76" s="853" t="s">
        <v>980</v>
      </c>
      <c r="B76" s="854"/>
      <c r="D76" s="854" t="s">
        <v>979</v>
      </c>
      <c r="F76" s="854" t="s">
        <v>978</v>
      </c>
      <c r="G76" s="853" t="s">
        <v>977</v>
      </c>
    </row>
    <row r="77" spans="1:7">
      <c r="A77" s="853" t="s">
        <v>976</v>
      </c>
      <c r="B77" s="717" t="s">
        <v>975</v>
      </c>
      <c r="D77" s="854" t="s">
        <v>974</v>
      </c>
      <c r="F77" s="854" t="s">
        <v>973</v>
      </c>
      <c r="G77" s="853" t="s">
        <v>972</v>
      </c>
    </row>
    <row r="78" spans="1:7">
      <c r="A78" s="853" t="s">
        <v>971</v>
      </c>
      <c r="B78" s="717" t="s">
        <v>970</v>
      </c>
      <c r="D78" s="854" t="s">
        <v>969</v>
      </c>
      <c r="F78" s="853" t="s">
        <v>968</v>
      </c>
      <c r="G78" s="853" t="s">
        <v>967</v>
      </c>
    </row>
    <row r="79" spans="1:7">
      <c r="A79" s="853" t="s">
        <v>966</v>
      </c>
      <c r="B79" s="853" t="s">
        <v>965</v>
      </c>
      <c r="D79" s="854" t="s">
        <v>964</v>
      </c>
      <c r="F79" s="854" t="s">
        <v>963</v>
      </c>
      <c r="G79" s="853" t="s">
        <v>962</v>
      </c>
    </row>
    <row r="80" spans="1:7">
      <c r="A80" s="717" t="s">
        <v>961</v>
      </c>
      <c r="B80" s="854" t="s">
        <v>960</v>
      </c>
      <c r="D80" s="854" t="s">
        <v>959</v>
      </c>
      <c r="F80" s="854" t="s">
        <v>958</v>
      </c>
      <c r="G80" s="853" t="s">
        <v>957</v>
      </c>
    </row>
    <row r="81" spans="1:7">
      <c r="A81" s="717" t="s">
        <v>956</v>
      </c>
      <c r="B81" s="854" t="s">
        <v>955</v>
      </c>
      <c r="D81" s="854" t="s">
        <v>954</v>
      </c>
      <c r="F81" s="854" t="s">
        <v>953</v>
      </c>
      <c r="G81" s="717" t="s">
        <v>952</v>
      </c>
    </row>
    <row r="82" spans="1:7">
      <c r="A82" s="854" t="s">
        <v>951</v>
      </c>
      <c r="B82" s="853" t="s">
        <v>950</v>
      </c>
      <c r="D82" s="854" t="s">
        <v>949</v>
      </c>
      <c r="F82" s="854" t="s">
        <v>948</v>
      </c>
      <c r="G82" s="853" t="s">
        <v>947</v>
      </c>
    </row>
    <row r="83" spans="1:7">
      <c r="A83" s="854" t="s">
        <v>946</v>
      </c>
      <c r="B83" s="854" t="s">
        <v>945</v>
      </c>
      <c r="D83" s="854" t="s">
        <v>944</v>
      </c>
      <c r="F83" s="854" t="s">
        <v>943</v>
      </c>
      <c r="G83" s="854" t="s">
        <v>942</v>
      </c>
    </row>
    <row r="84" spans="1:7">
      <c r="A84" s="854" t="s">
        <v>941</v>
      </c>
      <c r="B84" s="853" t="s">
        <v>940</v>
      </c>
      <c r="D84" s="854" t="s">
        <v>939</v>
      </c>
      <c r="F84" s="854" t="s">
        <v>938</v>
      </c>
      <c r="G84" s="854" t="s">
        <v>937</v>
      </c>
    </row>
    <row r="85" spans="1:7">
      <c r="A85" s="854" t="s">
        <v>936</v>
      </c>
      <c r="B85" s="854" t="s">
        <v>935</v>
      </c>
      <c r="D85" s="854" t="s">
        <v>934</v>
      </c>
      <c r="F85" s="854" t="s">
        <v>933</v>
      </c>
      <c r="G85" s="854" t="s">
        <v>932</v>
      </c>
    </row>
    <row r="86" spans="1:7">
      <c r="A86" s="854" t="s">
        <v>931</v>
      </c>
      <c r="B86" s="854" t="s">
        <v>930</v>
      </c>
      <c r="D86" s="854" t="s">
        <v>929</v>
      </c>
      <c r="F86" s="853" t="s">
        <v>928</v>
      </c>
      <c r="G86" s="854" t="s">
        <v>927</v>
      </c>
    </row>
    <row r="87" spans="1:7">
      <c r="A87" s="854" t="s">
        <v>926</v>
      </c>
      <c r="B87" s="854" t="s">
        <v>925</v>
      </c>
      <c r="D87" s="854" t="s">
        <v>924</v>
      </c>
      <c r="F87" s="854" t="s">
        <v>923</v>
      </c>
      <c r="G87" s="854" t="s">
        <v>922</v>
      </c>
    </row>
    <row r="88" spans="1:7">
      <c r="A88" s="854" t="s">
        <v>921</v>
      </c>
      <c r="B88" s="854" t="s">
        <v>920</v>
      </c>
      <c r="D88" s="854" t="s">
        <v>919</v>
      </c>
      <c r="F88" s="854" t="s">
        <v>918</v>
      </c>
      <c r="G88" s="854" t="s">
        <v>917</v>
      </c>
    </row>
    <row r="89" spans="1:7">
      <c r="A89" s="717" t="s">
        <v>916</v>
      </c>
      <c r="B89" s="854" t="s">
        <v>915</v>
      </c>
      <c r="D89" s="854" t="s">
        <v>914</v>
      </c>
      <c r="F89" s="854" t="s">
        <v>913</v>
      </c>
      <c r="G89" s="853" t="s">
        <v>912</v>
      </c>
    </row>
    <row r="90" spans="1:7">
      <c r="A90" s="717" t="s">
        <v>911</v>
      </c>
      <c r="B90" s="854" t="s">
        <v>910</v>
      </c>
      <c r="D90" s="854" t="s">
        <v>909</v>
      </c>
      <c r="F90" s="854" t="s">
        <v>908</v>
      </c>
      <c r="G90" s="853" t="s">
        <v>907</v>
      </c>
    </row>
    <row r="91" spans="1:7">
      <c r="A91" s="717" t="s">
        <v>906</v>
      </c>
      <c r="B91" s="853" t="s">
        <v>905</v>
      </c>
      <c r="D91" s="854" t="s">
        <v>904</v>
      </c>
      <c r="F91" s="854" t="s">
        <v>903</v>
      </c>
      <c r="G91" s="854" t="s">
        <v>902</v>
      </c>
    </row>
    <row r="92" spans="1:7">
      <c r="A92" s="717" t="s">
        <v>901</v>
      </c>
      <c r="B92" s="854" t="s">
        <v>900</v>
      </c>
      <c r="D92" s="854" t="s">
        <v>899</v>
      </c>
      <c r="F92" s="854" t="s">
        <v>898</v>
      </c>
      <c r="G92" s="854" t="s">
        <v>897</v>
      </c>
    </row>
    <row r="93" spans="1:7">
      <c r="A93" s="717" t="s">
        <v>896</v>
      </c>
      <c r="B93" s="854" t="s">
        <v>895</v>
      </c>
      <c r="D93" s="853" t="s">
        <v>894</v>
      </c>
      <c r="F93" s="854" t="s">
        <v>893</v>
      </c>
      <c r="G93" s="853" t="s">
        <v>892</v>
      </c>
    </row>
    <row r="94" spans="1:7">
      <c r="A94" s="854" t="s">
        <v>891</v>
      </c>
      <c r="B94" s="853" t="s">
        <v>890</v>
      </c>
      <c r="D94" s="853" t="s">
        <v>889</v>
      </c>
      <c r="F94" s="854" t="s">
        <v>888</v>
      </c>
      <c r="G94" s="854" t="s">
        <v>887</v>
      </c>
    </row>
    <row r="95" spans="1:7">
      <c r="A95" s="853" t="s">
        <v>886</v>
      </c>
      <c r="B95" s="717" t="s">
        <v>885</v>
      </c>
      <c r="D95" s="853" t="s">
        <v>884</v>
      </c>
      <c r="F95" s="853" t="s">
        <v>883</v>
      </c>
      <c r="G95" s="854" t="s">
        <v>882</v>
      </c>
    </row>
    <row r="96" spans="1:7">
      <c r="A96" s="854" t="s">
        <v>881</v>
      </c>
      <c r="B96" s="853" t="s">
        <v>880</v>
      </c>
      <c r="D96" s="854" t="s">
        <v>879</v>
      </c>
      <c r="F96" s="854" t="s">
        <v>878</v>
      </c>
      <c r="G96" s="854" t="s">
        <v>877</v>
      </c>
    </row>
    <row r="97" spans="1:7">
      <c r="A97" s="717" t="s">
        <v>876</v>
      </c>
      <c r="B97" s="854" t="s">
        <v>875</v>
      </c>
      <c r="D97" s="854" t="s">
        <v>874</v>
      </c>
      <c r="F97" s="854" t="s">
        <v>873</v>
      </c>
      <c r="G97" s="854" t="s">
        <v>872</v>
      </c>
    </row>
    <row r="98" spans="1:7">
      <c r="A98" s="853" t="s">
        <v>871</v>
      </c>
      <c r="B98" s="854" t="s">
        <v>870</v>
      </c>
      <c r="D98" s="854" t="s">
        <v>869</v>
      </c>
      <c r="F98" s="854" t="s">
        <v>868</v>
      </c>
      <c r="G98" s="853" t="s">
        <v>867</v>
      </c>
    </row>
    <row r="99" spans="1:7">
      <c r="A99" s="853" t="s">
        <v>866</v>
      </c>
      <c r="B99" s="853" t="s">
        <v>865</v>
      </c>
      <c r="D99" s="853" t="s">
        <v>864</v>
      </c>
      <c r="F99" s="854" t="s">
        <v>863</v>
      </c>
      <c r="G99" s="853" t="s">
        <v>862</v>
      </c>
    </row>
    <row r="100" spans="1:7">
      <c r="A100" s="853" t="s">
        <v>861</v>
      </c>
      <c r="B100" s="854" t="s">
        <v>860</v>
      </c>
      <c r="D100" s="717" t="s">
        <v>859</v>
      </c>
      <c r="F100" s="854" t="s">
        <v>858</v>
      </c>
      <c r="G100" s="854" t="s">
        <v>857</v>
      </c>
    </row>
    <row r="101" spans="1:7">
      <c r="A101" s="853" t="s">
        <v>856</v>
      </c>
      <c r="B101" s="854" t="s">
        <v>855</v>
      </c>
      <c r="D101" s="853" t="s">
        <v>854</v>
      </c>
      <c r="F101" s="854" t="s">
        <v>853</v>
      </c>
      <c r="G101" s="854" t="s">
        <v>852</v>
      </c>
    </row>
    <row r="102" spans="1:7">
      <c r="A102" s="853" t="s">
        <v>851</v>
      </c>
      <c r="B102" s="853" t="s">
        <v>850</v>
      </c>
      <c r="D102" s="853" t="s">
        <v>849</v>
      </c>
      <c r="F102" s="853" t="s">
        <v>848</v>
      </c>
      <c r="G102" s="854" t="s">
        <v>847</v>
      </c>
    </row>
    <row r="103" spans="1:7">
      <c r="A103" s="854" t="s">
        <v>846</v>
      </c>
      <c r="B103" s="853" t="s">
        <v>845</v>
      </c>
      <c r="D103" s="854" t="s">
        <v>844</v>
      </c>
      <c r="F103" s="854" t="s">
        <v>843</v>
      </c>
      <c r="G103" s="854" t="s">
        <v>842</v>
      </c>
    </row>
    <row r="104" spans="1:7">
      <c r="A104" s="854" t="s">
        <v>841</v>
      </c>
      <c r="B104" s="854" t="s">
        <v>840</v>
      </c>
      <c r="D104" s="854" t="s">
        <v>839</v>
      </c>
      <c r="F104" s="854" t="s">
        <v>838</v>
      </c>
      <c r="G104" s="717" t="s">
        <v>837</v>
      </c>
    </row>
    <row r="105" spans="1:7">
      <c r="A105" s="853" t="s">
        <v>836</v>
      </c>
      <c r="B105" s="854" t="s">
        <v>835</v>
      </c>
      <c r="D105" s="853" t="s">
        <v>834</v>
      </c>
      <c r="F105" s="854" t="s">
        <v>833</v>
      </c>
      <c r="G105" s="853" t="s">
        <v>832</v>
      </c>
    </row>
    <row r="106" spans="1:7">
      <c r="A106" s="854" t="s">
        <v>831</v>
      </c>
      <c r="B106" s="854" t="s">
        <v>830</v>
      </c>
      <c r="D106" s="854" t="s">
        <v>829</v>
      </c>
      <c r="F106" s="854" t="s">
        <v>828</v>
      </c>
      <c r="G106" s="854" t="s">
        <v>827</v>
      </c>
    </row>
    <row r="107" spans="1:7">
      <c r="A107" s="854" t="s">
        <v>826</v>
      </c>
      <c r="B107" s="854" t="s">
        <v>825</v>
      </c>
      <c r="D107" s="854" t="s">
        <v>824</v>
      </c>
      <c r="F107" s="853" t="s">
        <v>823</v>
      </c>
      <c r="G107" s="854" t="s">
        <v>822</v>
      </c>
    </row>
    <row r="108" spans="1:7">
      <c r="A108" s="853" t="s">
        <v>821</v>
      </c>
      <c r="B108" s="853" t="s">
        <v>820</v>
      </c>
      <c r="D108" s="854" t="s">
        <v>819</v>
      </c>
      <c r="F108" s="853" t="s">
        <v>818</v>
      </c>
      <c r="G108" s="854" t="s">
        <v>817</v>
      </c>
    </row>
    <row r="109" spans="1:7">
      <c r="A109" s="854" t="s">
        <v>816</v>
      </c>
      <c r="B109" s="854" t="s">
        <v>815</v>
      </c>
      <c r="D109" s="854" t="s">
        <v>814</v>
      </c>
      <c r="F109" s="854" t="s">
        <v>813</v>
      </c>
      <c r="G109" s="854" t="s">
        <v>812</v>
      </c>
    </row>
    <row r="110" spans="1:7">
      <c r="A110" s="854" t="s">
        <v>811</v>
      </c>
      <c r="B110" s="854" t="s">
        <v>810</v>
      </c>
      <c r="D110" s="854" t="s">
        <v>809</v>
      </c>
      <c r="F110" s="854" t="s">
        <v>808</v>
      </c>
      <c r="G110" s="854" t="s">
        <v>807</v>
      </c>
    </row>
    <row r="111" spans="1:7">
      <c r="A111" s="854" t="s">
        <v>806</v>
      </c>
      <c r="B111" s="853" t="s">
        <v>805</v>
      </c>
      <c r="D111" s="854" t="s">
        <v>804</v>
      </c>
      <c r="F111" s="854" t="s">
        <v>803</v>
      </c>
      <c r="G111" s="854" t="s">
        <v>802</v>
      </c>
    </row>
    <row r="112" spans="1:7">
      <c r="A112" s="853" t="s">
        <v>801</v>
      </c>
      <c r="B112" s="854" t="s">
        <v>800</v>
      </c>
      <c r="D112" s="854" t="s">
        <v>799</v>
      </c>
      <c r="F112" s="854" t="s">
        <v>798</v>
      </c>
      <c r="G112" s="854" t="s">
        <v>797</v>
      </c>
    </row>
    <row r="113" spans="1:7">
      <c r="A113" s="854" t="s">
        <v>796</v>
      </c>
      <c r="B113" s="854" t="s">
        <v>795</v>
      </c>
      <c r="D113" s="854" t="s">
        <v>794</v>
      </c>
      <c r="F113" s="854" t="s">
        <v>793</v>
      </c>
      <c r="G113" s="854" t="s">
        <v>792</v>
      </c>
    </row>
    <row r="114" spans="1:7">
      <c r="A114" s="854" t="s">
        <v>791</v>
      </c>
      <c r="B114" s="854" t="s">
        <v>790</v>
      </c>
      <c r="D114" s="854" t="s">
        <v>789</v>
      </c>
      <c r="F114" s="853" t="s">
        <v>788</v>
      </c>
      <c r="G114" s="854" t="s">
        <v>787</v>
      </c>
    </row>
    <row r="115" spans="1:7">
      <c r="A115" s="854" t="s">
        <v>786</v>
      </c>
      <c r="B115" s="854" t="s">
        <v>785</v>
      </c>
      <c r="D115" s="854" t="s">
        <v>784</v>
      </c>
      <c r="F115" s="854" t="s">
        <v>783</v>
      </c>
      <c r="G115" s="854" t="s">
        <v>782</v>
      </c>
    </row>
    <row r="116" spans="1:7">
      <c r="A116" s="854" t="s">
        <v>781</v>
      </c>
      <c r="B116" s="854" t="s">
        <v>780</v>
      </c>
      <c r="D116" s="853" t="s">
        <v>779</v>
      </c>
      <c r="F116" s="854" t="s">
        <v>778</v>
      </c>
      <c r="G116" s="853" t="s">
        <v>777</v>
      </c>
    </row>
    <row r="117" spans="1:7">
      <c r="A117" s="854" t="s">
        <v>776</v>
      </c>
      <c r="B117" s="854" t="s">
        <v>775</v>
      </c>
      <c r="D117" s="853" t="s">
        <v>774</v>
      </c>
      <c r="F117" s="853" t="s">
        <v>773</v>
      </c>
      <c r="G117" s="854" t="s">
        <v>772</v>
      </c>
    </row>
    <row r="118" spans="1:7">
      <c r="A118" s="854" t="s">
        <v>771</v>
      </c>
      <c r="B118" s="853" t="s">
        <v>770</v>
      </c>
      <c r="D118" s="854" t="s">
        <v>769</v>
      </c>
      <c r="F118" s="717" t="s">
        <v>768</v>
      </c>
      <c r="G118" s="854" t="s">
        <v>767</v>
      </c>
    </row>
    <row r="119" spans="1:7">
      <c r="A119" s="854" t="s">
        <v>766</v>
      </c>
      <c r="B119" s="854" t="s">
        <v>765</v>
      </c>
      <c r="D119" s="854" t="s">
        <v>764</v>
      </c>
      <c r="F119" s="853" t="s">
        <v>763</v>
      </c>
      <c r="G119" s="854" t="s">
        <v>762</v>
      </c>
    </row>
    <row r="120" spans="1:7">
      <c r="A120" s="854" t="s">
        <v>761</v>
      </c>
      <c r="B120" s="854" t="s">
        <v>760</v>
      </c>
      <c r="D120" s="717" t="s">
        <v>759</v>
      </c>
      <c r="F120" s="854" t="s">
        <v>758</v>
      </c>
      <c r="G120" s="854" t="s">
        <v>757</v>
      </c>
    </row>
    <row r="121" spans="1:7">
      <c r="A121" s="854" t="s">
        <v>756</v>
      </c>
      <c r="B121" s="853" t="s">
        <v>755</v>
      </c>
      <c r="D121" s="853" t="s">
        <v>754</v>
      </c>
      <c r="F121" s="854" t="s">
        <v>753</v>
      </c>
      <c r="G121" s="853" t="s">
        <v>752</v>
      </c>
    </row>
    <row r="122" spans="1:7">
      <c r="A122" s="854" t="s">
        <v>751</v>
      </c>
      <c r="B122" s="717" t="s">
        <v>750</v>
      </c>
      <c r="D122" s="853" t="s">
        <v>749</v>
      </c>
      <c r="F122" s="854" t="s">
        <v>748</v>
      </c>
      <c r="G122" s="854" t="s">
        <v>747</v>
      </c>
    </row>
    <row r="123" spans="1:7">
      <c r="A123" s="854" t="s">
        <v>746</v>
      </c>
      <c r="B123" s="853" t="s">
        <v>745</v>
      </c>
      <c r="D123" s="853" t="s">
        <v>744</v>
      </c>
      <c r="F123" s="854" t="s">
        <v>743</v>
      </c>
      <c r="G123" s="854" t="s">
        <v>742</v>
      </c>
    </row>
    <row r="124" spans="1:7">
      <c r="A124" s="853" t="s">
        <v>741</v>
      </c>
      <c r="B124" s="854" t="s">
        <v>740</v>
      </c>
      <c r="D124" s="853" t="s">
        <v>739</v>
      </c>
      <c r="F124" s="854" t="s">
        <v>738</v>
      </c>
      <c r="G124" s="854" t="s">
        <v>737</v>
      </c>
    </row>
    <row r="125" spans="1:7">
      <c r="A125" s="717" t="s">
        <v>736</v>
      </c>
      <c r="B125" s="854" t="s">
        <v>735</v>
      </c>
      <c r="D125" s="853" t="s">
        <v>734</v>
      </c>
      <c r="F125" s="853" t="s">
        <v>733</v>
      </c>
      <c r="G125" s="854" t="s">
        <v>732</v>
      </c>
    </row>
    <row r="126" spans="1:7">
      <c r="A126" s="853" t="s">
        <v>731</v>
      </c>
      <c r="B126" s="854" t="s">
        <v>730</v>
      </c>
      <c r="D126" s="854" t="s">
        <v>729</v>
      </c>
      <c r="F126" s="854" t="s">
        <v>728</v>
      </c>
      <c r="G126" s="854" t="s">
        <v>727</v>
      </c>
    </row>
    <row r="127" spans="1:7">
      <c r="A127" s="853" t="s">
        <v>726</v>
      </c>
      <c r="B127" s="854" t="s">
        <v>725</v>
      </c>
      <c r="D127" s="854" t="s">
        <v>724</v>
      </c>
      <c r="F127" s="854" t="s">
        <v>723</v>
      </c>
      <c r="G127" s="854" t="s">
        <v>722</v>
      </c>
    </row>
    <row r="128" spans="1:7">
      <c r="A128" s="853" t="s">
        <v>721</v>
      </c>
      <c r="B128" s="854" t="s">
        <v>720</v>
      </c>
      <c r="D128" s="717" t="s">
        <v>719</v>
      </c>
      <c r="F128" s="854" t="s">
        <v>718</v>
      </c>
      <c r="G128" s="854" t="s">
        <v>717</v>
      </c>
    </row>
    <row r="129" spans="1:7">
      <c r="A129" s="854" t="s">
        <v>716</v>
      </c>
      <c r="B129" s="853" t="s">
        <v>715</v>
      </c>
      <c r="D129" s="853" t="s">
        <v>714</v>
      </c>
      <c r="F129" s="854" t="s">
        <v>713</v>
      </c>
      <c r="G129" s="854" t="s">
        <v>712</v>
      </c>
    </row>
    <row r="130" spans="1:7">
      <c r="A130" s="854" t="s">
        <v>711</v>
      </c>
      <c r="B130" s="854" t="s">
        <v>710</v>
      </c>
      <c r="D130" s="853" t="s">
        <v>709</v>
      </c>
      <c r="F130" s="854" t="s">
        <v>708</v>
      </c>
      <c r="G130" s="717" t="s">
        <v>707</v>
      </c>
    </row>
    <row r="131" spans="1:7">
      <c r="A131" s="717" t="s">
        <v>706</v>
      </c>
      <c r="B131" s="854" t="s">
        <v>705</v>
      </c>
      <c r="D131" s="854" t="s">
        <v>704</v>
      </c>
      <c r="F131" s="854" t="s">
        <v>703</v>
      </c>
      <c r="G131" s="853" t="s">
        <v>702</v>
      </c>
    </row>
    <row r="132" spans="1:7">
      <c r="A132" s="853" t="s">
        <v>701</v>
      </c>
      <c r="B132" s="854" t="s">
        <v>700</v>
      </c>
      <c r="D132" s="854" t="s">
        <v>699</v>
      </c>
      <c r="F132" s="853" t="s">
        <v>698</v>
      </c>
      <c r="G132" s="853" t="s">
        <v>697</v>
      </c>
    </row>
    <row r="133" spans="1:7">
      <c r="A133" s="853" t="s">
        <v>696</v>
      </c>
      <c r="B133" s="854" t="s">
        <v>695</v>
      </c>
      <c r="D133" s="854" t="s">
        <v>694</v>
      </c>
      <c r="F133" s="854" t="s">
        <v>693</v>
      </c>
      <c r="G133" s="853" t="s">
        <v>692</v>
      </c>
    </row>
    <row r="134" spans="1:7">
      <c r="A134" s="853" t="s">
        <v>691</v>
      </c>
      <c r="B134" s="854" t="s">
        <v>690</v>
      </c>
      <c r="D134" s="853" t="s">
        <v>689</v>
      </c>
      <c r="F134" s="854" t="s">
        <v>688</v>
      </c>
    </row>
    <row r="135" spans="1:7">
      <c r="A135" s="853" t="s">
        <v>687</v>
      </c>
      <c r="B135" s="854" t="s">
        <v>686</v>
      </c>
      <c r="D135" s="854" t="s">
        <v>685</v>
      </c>
      <c r="F135" s="854" t="s">
        <v>684</v>
      </c>
    </row>
    <row r="136" spans="1:7">
      <c r="A136" s="75"/>
      <c r="B136" s="853" t="s">
        <v>683</v>
      </c>
      <c r="D136" s="854" t="s">
        <v>682</v>
      </c>
      <c r="F136" s="854" t="s">
        <v>681</v>
      </c>
    </row>
    <row r="137" spans="1:7">
      <c r="A137" s="75"/>
      <c r="B137" s="717" t="s">
        <v>680</v>
      </c>
      <c r="D137" s="854" t="s">
        <v>679</v>
      </c>
      <c r="F137" s="854" t="s">
        <v>678</v>
      </c>
    </row>
    <row r="138" spans="1:7">
      <c r="A138" s="75"/>
      <c r="B138" s="853" t="s">
        <v>677</v>
      </c>
      <c r="D138" s="853" t="s">
        <v>676</v>
      </c>
      <c r="F138" s="854" t="s">
        <v>675</v>
      </c>
    </row>
    <row r="139" spans="1:7">
      <c r="A139" s="75"/>
      <c r="B139" s="854" t="s">
        <v>674</v>
      </c>
      <c r="D139" s="717" t="s">
        <v>673</v>
      </c>
      <c r="F139" s="854" t="s">
        <v>672</v>
      </c>
    </row>
    <row r="140" spans="1:7">
      <c r="A140" s="75"/>
      <c r="B140" s="854" t="s">
        <v>671</v>
      </c>
      <c r="D140" s="853" t="s">
        <v>670</v>
      </c>
      <c r="F140" s="854" t="s">
        <v>669</v>
      </c>
    </row>
    <row r="141" spans="1:7">
      <c r="A141" s="75"/>
      <c r="B141" s="854" t="s">
        <v>668</v>
      </c>
      <c r="D141" s="854" t="s">
        <v>667</v>
      </c>
      <c r="F141" s="854" t="s">
        <v>666</v>
      </c>
    </row>
    <row r="142" spans="1:7">
      <c r="A142" s="75"/>
      <c r="B142" s="854" t="s">
        <v>665</v>
      </c>
      <c r="D142" s="853" t="s">
        <v>664</v>
      </c>
      <c r="F142" s="854" t="s">
        <v>663</v>
      </c>
    </row>
    <row r="143" spans="1:7">
      <c r="A143" s="75"/>
      <c r="B143" s="853" t="s">
        <v>662</v>
      </c>
      <c r="D143" s="853" t="s">
        <v>661</v>
      </c>
      <c r="F143" s="853" t="s">
        <v>660</v>
      </c>
    </row>
    <row r="144" spans="1:7">
      <c r="A144" s="75"/>
      <c r="B144" s="854" t="s">
        <v>659</v>
      </c>
      <c r="D144" s="853" t="s">
        <v>658</v>
      </c>
      <c r="F144" s="854" t="s">
        <v>657</v>
      </c>
    </row>
    <row r="145" spans="1:6">
      <c r="A145" s="75"/>
      <c r="B145" s="853" t="s">
        <v>656</v>
      </c>
      <c r="D145" s="854" t="s">
        <v>655</v>
      </c>
      <c r="F145" s="854" t="s">
        <v>654</v>
      </c>
    </row>
    <row r="146" spans="1:6">
      <c r="A146" s="75"/>
      <c r="B146" s="853" t="s">
        <v>653</v>
      </c>
      <c r="D146" s="854" t="s">
        <v>652</v>
      </c>
      <c r="F146" s="854" t="s">
        <v>651</v>
      </c>
    </row>
    <row r="147" spans="1:6">
      <c r="A147" s="75"/>
      <c r="B147" s="854" t="s">
        <v>650</v>
      </c>
      <c r="D147" s="717" t="s">
        <v>649</v>
      </c>
      <c r="F147" s="854" t="s">
        <v>648</v>
      </c>
    </row>
    <row r="148" spans="1:6">
      <c r="A148" s="75"/>
      <c r="B148" s="854" t="s">
        <v>647</v>
      </c>
      <c r="D148" s="853" t="s">
        <v>646</v>
      </c>
      <c r="F148" s="717" t="s">
        <v>645</v>
      </c>
    </row>
    <row r="149" spans="1:6">
      <c r="A149" s="75"/>
      <c r="B149" s="853" t="s">
        <v>644</v>
      </c>
      <c r="D149" s="853" t="s">
        <v>643</v>
      </c>
      <c r="F149" s="853" t="s">
        <v>642</v>
      </c>
    </row>
    <row r="150" spans="1:6">
      <c r="A150" s="75"/>
      <c r="B150" s="854" t="s">
        <v>641</v>
      </c>
      <c r="D150" s="854" t="s">
        <v>640</v>
      </c>
      <c r="F150" s="854" t="s">
        <v>639</v>
      </c>
    </row>
    <row r="151" spans="1:6">
      <c r="A151" s="75"/>
      <c r="B151" s="854" t="s">
        <v>638</v>
      </c>
      <c r="D151" s="854" t="s">
        <v>637</v>
      </c>
      <c r="F151" s="854" t="s">
        <v>636</v>
      </c>
    </row>
    <row r="152" spans="1:6">
      <c r="A152" s="75"/>
      <c r="B152" s="854" t="s">
        <v>635</v>
      </c>
      <c r="D152" s="854" t="s">
        <v>634</v>
      </c>
      <c r="F152" s="854" t="s">
        <v>633</v>
      </c>
    </row>
    <row r="153" spans="1:6">
      <c r="A153" s="75"/>
      <c r="B153" s="854" t="s">
        <v>632</v>
      </c>
      <c r="D153" s="853" t="s">
        <v>631</v>
      </c>
      <c r="F153" s="854" t="s">
        <v>630</v>
      </c>
    </row>
    <row r="154" spans="1:6">
      <c r="A154" s="75"/>
      <c r="B154" s="853" t="s">
        <v>629</v>
      </c>
      <c r="D154" s="854" t="s">
        <v>628</v>
      </c>
      <c r="F154" s="854" t="s">
        <v>627</v>
      </c>
    </row>
    <row r="155" spans="1:6">
      <c r="A155" s="75"/>
      <c r="B155" s="854" t="s">
        <v>626</v>
      </c>
      <c r="D155" s="854" t="s">
        <v>625</v>
      </c>
      <c r="F155" s="853" t="s">
        <v>624</v>
      </c>
    </row>
    <row r="156" spans="1:6">
      <c r="A156" s="75"/>
      <c r="B156" s="854" t="s">
        <v>623</v>
      </c>
      <c r="D156" s="854" t="s">
        <v>622</v>
      </c>
      <c r="F156" s="853" t="s">
        <v>621</v>
      </c>
    </row>
    <row r="157" spans="1:6">
      <c r="A157" s="75"/>
      <c r="B157" s="854" t="s">
        <v>620</v>
      </c>
      <c r="F157" s="854" t="s">
        <v>619</v>
      </c>
    </row>
    <row r="158" spans="1:6">
      <c r="A158" s="75"/>
      <c r="B158" s="854" t="s">
        <v>618</v>
      </c>
      <c r="F158" s="854" t="s">
        <v>617</v>
      </c>
    </row>
    <row r="159" spans="1:6">
      <c r="A159" s="75"/>
      <c r="B159" s="854" t="s">
        <v>616</v>
      </c>
      <c r="F159" s="854" t="s">
        <v>615</v>
      </c>
    </row>
    <row r="160" spans="1:6">
      <c r="A160" s="75"/>
      <c r="B160" s="854" t="s">
        <v>614</v>
      </c>
      <c r="F160" s="854" t="s">
        <v>613</v>
      </c>
    </row>
    <row r="161" spans="1:6">
      <c r="A161" s="75"/>
      <c r="F161" s="854" t="s">
        <v>612</v>
      </c>
    </row>
    <row r="162" spans="1:6">
      <c r="A162" s="75"/>
      <c r="F162" s="853" t="s">
        <v>611</v>
      </c>
    </row>
    <row r="163" spans="1:6">
      <c r="A163" s="75"/>
      <c r="F163" s="853" t="s">
        <v>610</v>
      </c>
    </row>
    <row r="164" spans="1:6">
      <c r="A164" s="75"/>
      <c r="F164" s="854" t="s">
        <v>609</v>
      </c>
    </row>
    <row r="165" spans="1:6">
      <c r="A165" s="75"/>
      <c r="F165" s="854" t="s">
        <v>608</v>
      </c>
    </row>
    <row r="166" spans="1:6">
      <c r="A166" s="75"/>
      <c r="F166" s="854" t="s">
        <v>607</v>
      </c>
    </row>
    <row r="167" spans="1:6">
      <c r="A167" s="75"/>
      <c r="F167" s="854" t="s">
        <v>606</v>
      </c>
    </row>
    <row r="168" spans="1:6">
      <c r="A168" s="75"/>
      <c r="F168" s="854" t="s">
        <v>605</v>
      </c>
    </row>
    <row r="169" spans="1:6">
      <c r="A169" s="75"/>
      <c r="F169" s="853" t="s">
        <v>604</v>
      </c>
    </row>
    <row r="170" spans="1:6">
      <c r="A170" s="75"/>
      <c r="F170" s="717" t="s">
        <v>603</v>
      </c>
    </row>
    <row r="171" spans="1:6">
      <c r="A171" s="75"/>
      <c r="F171" s="853" t="s">
        <v>602</v>
      </c>
    </row>
    <row r="172" spans="1:6">
      <c r="A172" s="75"/>
      <c r="F172" s="854" t="s">
        <v>601</v>
      </c>
    </row>
    <row r="173" spans="1:6">
      <c r="A173" s="75"/>
      <c r="F173" s="854" t="s">
        <v>600</v>
      </c>
    </row>
    <row r="174" spans="1:6">
      <c r="A174" s="75"/>
      <c r="F174" s="854" t="s">
        <v>599</v>
      </c>
    </row>
    <row r="175" spans="1:6">
      <c r="A175" s="75"/>
      <c r="F175" s="853" t="s">
        <v>598</v>
      </c>
    </row>
    <row r="176" spans="1:6">
      <c r="A176" s="75"/>
      <c r="F176" s="853" t="s">
        <v>597</v>
      </c>
    </row>
    <row r="177" spans="1:6">
      <c r="A177" s="75"/>
      <c r="F177" s="854" t="s">
        <v>596</v>
      </c>
    </row>
    <row r="178" spans="1:6">
      <c r="A178" s="75"/>
      <c r="F178" s="854" t="s">
        <v>595</v>
      </c>
    </row>
    <row r="179" spans="1:6">
      <c r="A179" s="75"/>
      <c r="F179" s="853" t="s">
        <v>594</v>
      </c>
    </row>
    <row r="180" spans="1:6">
      <c r="A180" s="75"/>
      <c r="F180" s="854" t="s">
        <v>593</v>
      </c>
    </row>
    <row r="181" spans="1:6">
      <c r="A181" s="75"/>
      <c r="F181" s="854" t="s">
        <v>592</v>
      </c>
    </row>
    <row r="182" spans="1:6">
      <c r="A182" s="75"/>
      <c r="F182" s="853" t="s">
        <v>591</v>
      </c>
    </row>
    <row r="183" spans="1:6">
      <c r="A183" s="75"/>
      <c r="F183" s="717" t="s">
        <v>590</v>
      </c>
    </row>
    <row r="184" spans="1:6">
      <c r="A184" s="75"/>
      <c r="F184" s="853" t="s">
        <v>589</v>
      </c>
    </row>
    <row r="185" spans="1:6">
      <c r="A185" s="75"/>
      <c r="F185" s="854" t="s">
        <v>588</v>
      </c>
    </row>
    <row r="186" spans="1:6">
      <c r="A186" s="75"/>
      <c r="F186" s="854" t="s">
        <v>587</v>
      </c>
    </row>
    <row r="187" spans="1:6">
      <c r="A187" s="75"/>
      <c r="F187" s="854" t="s">
        <v>586</v>
      </c>
    </row>
    <row r="188" spans="1:6">
      <c r="A188" s="75"/>
      <c r="F188" s="854" t="s">
        <v>585</v>
      </c>
    </row>
    <row r="189" spans="1:6">
      <c r="A189" s="75"/>
      <c r="F189" s="854" t="s">
        <v>584</v>
      </c>
    </row>
    <row r="190" spans="1:6">
      <c r="A190" s="75"/>
      <c r="F190" s="854" t="s">
        <v>583</v>
      </c>
    </row>
    <row r="191" spans="1:6">
      <c r="A191" s="75"/>
      <c r="F191" s="854" t="s">
        <v>582</v>
      </c>
    </row>
    <row r="192" spans="1:6">
      <c r="A192" s="75"/>
      <c r="F192" s="854" t="s">
        <v>581</v>
      </c>
    </row>
    <row r="193" spans="1:6">
      <c r="A193" s="75"/>
      <c r="F193" s="854" t="s">
        <v>580</v>
      </c>
    </row>
    <row r="194" spans="1:6">
      <c r="A194" s="852"/>
      <c r="F194" s="854" t="s">
        <v>579</v>
      </c>
    </row>
    <row r="195" spans="1:6">
      <c r="A195" s="852"/>
      <c r="F195" s="853" t="s">
        <v>578</v>
      </c>
    </row>
    <row r="196" spans="1:6">
      <c r="A196" s="852"/>
      <c r="F196" s="853" t="s">
        <v>577</v>
      </c>
    </row>
    <row r="197" spans="1:6">
      <c r="A197" s="852"/>
      <c r="F197" s="853" t="s">
        <v>576</v>
      </c>
    </row>
    <row r="198" spans="1:6">
      <c r="A198" s="852"/>
      <c r="F198" s="853" t="s">
        <v>575</v>
      </c>
    </row>
    <row r="199" spans="1:6">
      <c r="A199" s="852"/>
      <c r="F199" s="853" t="s">
        <v>574</v>
      </c>
    </row>
    <row r="200" spans="1:6">
      <c r="A200" s="852"/>
      <c r="F200" s="717" t="s">
        <v>573</v>
      </c>
    </row>
    <row r="201" spans="1:6">
      <c r="A201" s="852"/>
      <c r="F201" s="853" t="s">
        <v>572</v>
      </c>
    </row>
    <row r="202" spans="1:6">
      <c r="A202" s="852"/>
      <c r="F202" s="854" t="s">
        <v>571</v>
      </c>
    </row>
    <row r="203" spans="1:6">
      <c r="A203" s="852"/>
      <c r="F203" s="854" t="s">
        <v>570</v>
      </c>
    </row>
    <row r="204" spans="1:6">
      <c r="A204" s="855"/>
      <c r="F204" s="854" t="s">
        <v>569</v>
      </c>
    </row>
    <row r="205" spans="1:6">
      <c r="A205" s="852"/>
      <c r="F205" s="854" t="s">
        <v>568</v>
      </c>
    </row>
    <row r="206" spans="1:6">
      <c r="A206" s="852"/>
      <c r="F206" s="854" t="s">
        <v>567</v>
      </c>
    </row>
    <row r="207" spans="1:6">
      <c r="A207" s="852"/>
      <c r="F207" s="854" t="s">
        <v>566</v>
      </c>
    </row>
    <row r="208" spans="1:6">
      <c r="A208" s="852"/>
      <c r="F208" s="854" t="s">
        <v>565</v>
      </c>
    </row>
    <row r="209" spans="1:6">
      <c r="A209" s="852"/>
      <c r="F209" s="853" t="s">
        <v>564</v>
      </c>
    </row>
    <row r="210" spans="1:6">
      <c r="A210" s="852"/>
      <c r="F210" s="853" t="s">
        <v>563</v>
      </c>
    </row>
    <row r="211" spans="1:6">
      <c r="A211" s="852"/>
      <c r="F211" s="854" t="s">
        <v>562</v>
      </c>
    </row>
    <row r="212" spans="1:6">
      <c r="A212" s="852"/>
      <c r="F212" s="854" t="s">
        <v>561</v>
      </c>
    </row>
    <row r="213" spans="1:6">
      <c r="A213" s="852"/>
      <c r="F213" s="853" t="s">
        <v>560</v>
      </c>
    </row>
    <row r="214" spans="1:6">
      <c r="A214" s="852"/>
      <c r="F214" s="854" t="s">
        <v>559</v>
      </c>
    </row>
    <row r="215" spans="1:6">
      <c r="A215" s="852"/>
      <c r="F215" s="854" t="s">
        <v>558</v>
      </c>
    </row>
    <row r="216" spans="1:6">
      <c r="A216" s="852"/>
      <c r="F216" s="854" t="s">
        <v>557</v>
      </c>
    </row>
    <row r="217" spans="1:6">
      <c r="A217" s="852"/>
      <c r="F217" s="854" t="s">
        <v>556</v>
      </c>
    </row>
    <row r="218" spans="1:6">
      <c r="A218" s="852"/>
      <c r="F218" s="853" t="s">
        <v>555</v>
      </c>
    </row>
    <row r="219" spans="1:6">
      <c r="A219" s="852"/>
      <c r="F219" s="854" t="s">
        <v>554</v>
      </c>
    </row>
    <row r="220" spans="1:6">
      <c r="A220" s="852"/>
      <c r="F220" s="854" t="s">
        <v>553</v>
      </c>
    </row>
    <row r="221" spans="1:6">
      <c r="A221" s="852"/>
      <c r="F221" s="854" t="s">
        <v>552</v>
      </c>
    </row>
    <row r="222" spans="1:6">
      <c r="A222" s="852"/>
      <c r="F222" s="854" t="s">
        <v>551</v>
      </c>
    </row>
    <row r="223" spans="1:6">
      <c r="A223" s="852"/>
      <c r="F223" s="717" t="s">
        <v>550</v>
      </c>
    </row>
    <row r="224" spans="1:6">
      <c r="A224" s="852"/>
      <c r="F224" s="853" t="s">
        <v>549</v>
      </c>
    </row>
    <row r="225" spans="1:6">
      <c r="A225" s="852"/>
      <c r="F225" s="854" t="s">
        <v>548</v>
      </c>
    </row>
    <row r="226" spans="1:6">
      <c r="A226" s="852"/>
      <c r="F226" s="854" t="s">
        <v>547</v>
      </c>
    </row>
    <row r="227" spans="1:6">
      <c r="A227" s="75"/>
      <c r="F227" s="854" t="s">
        <v>546</v>
      </c>
    </row>
    <row r="228" spans="1:6">
      <c r="A228" s="75"/>
      <c r="F228" s="854" t="s">
        <v>545</v>
      </c>
    </row>
    <row r="229" spans="1:6">
      <c r="A229" s="75"/>
      <c r="F229" s="854" t="s">
        <v>544</v>
      </c>
    </row>
    <row r="230" spans="1:6">
      <c r="A230" s="75"/>
      <c r="F230" s="854" t="s">
        <v>543</v>
      </c>
    </row>
    <row r="231" spans="1:6">
      <c r="A231" s="75"/>
      <c r="F231" s="854" t="s">
        <v>542</v>
      </c>
    </row>
    <row r="232" spans="1:6">
      <c r="A232" s="75"/>
      <c r="F232" s="854" t="s">
        <v>541</v>
      </c>
    </row>
    <row r="233" spans="1:6">
      <c r="A233" s="75"/>
      <c r="F233" s="854" t="s">
        <v>540</v>
      </c>
    </row>
    <row r="234" spans="1:6">
      <c r="A234" s="75"/>
      <c r="F234" s="854" t="s">
        <v>539</v>
      </c>
    </row>
    <row r="235" spans="1:6">
      <c r="A235" s="75"/>
      <c r="F235" s="854" t="s">
        <v>538</v>
      </c>
    </row>
    <row r="236" spans="1:6">
      <c r="A236" s="75"/>
      <c r="F236" s="853" t="s">
        <v>537</v>
      </c>
    </row>
    <row r="237" spans="1:6">
      <c r="A237" s="75"/>
      <c r="F237" s="854" t="s">
        <v>536</v>
      </c>
    </row>
    <row r="238" spans="1:6">
      <c r="A238" s="75"/>
      <c r="F238" s="854" t="s">
        <v>535</v>
      </c>
    </row>
    <row r="239" spans="1:6">
      <c r="A239" s="75"/>
      <c r="F239" s="854" t="s">
        <v>534</v>
      </c>
    </row>
    <row r="240" spans="1:6">
      <c r="A240" s="75"/>
      <c r="F240" s="854" t="s">
        <v>533</v>
      </c>
    </row>
    <row r="241" spans="1:6">
      <c r="A241" s="75"/>
      <c r="F241" s="854" t="s">
        <v>532</v>
      </c>
    </row>
    <row r="242" spans="1:6">
      <c r="A242" s="75"/>
      <c r="F242" s="854" t="s">
        <v>531</v>
      </c>
    </row>
    <row r="243" spans="1:6">
      <c r="A243" s="75"/>
      <c r="F243" s="853" t="s">
        <v>530</v>
      </c>
    </row>
    <row r="244" spans="1:6">
      <c r="A244" s="75"/>
      <c r="F244" s="854" t="s">
        <v>529</v>
      </c>
    </row>
    <row r="245" spans="1:6">
      <c r="A245" s="75"/>
      <c r="F245" s="854" t="s">
        <v>528</v>
      </c>
    </row>
    <row r="246" spans="1:6">
      <c r="A246" s="75"/>
      <c r="F246" s="854" t="s">
        <v>527</v>
      </c>
    </row>
    <row r="247" spans="1:6">
      <c r="A247" s="75"/>
      <c r="F247" s="854" t="s">
        <v>526</v>
      </c>
    </row>
    <row r="248" spans="1:6">
      <c r="A248" s="75"/>
      <c r="F248" s="854" t="s">
        <v>525</v>
      </c>
    </row>
    <row r="249" spans="1:6">
      <c r="A249" s="75"/>
      <c r="F249" s="854" t="s">
        <v>524</v>
      </c>
    </row>
    <row r="250" spans="1:6">
      <c r="A250" s="75"/>
      <c r="F250" s="854" t="s">
        <v>523</v>
      </c>
    </row>
    <row r="251" spans="1:6">
      <c r="A251" s="75"/>
      <c r="F251" s="717" t="s">
        <v>522</v>
      </c>
    </row>
    <row r="252" spans="1:6">
      <c r="A252" s="75"/>
      <c r="F252" s="853" t="s">
        <v>521</v>
      </c>
    </row>
    <row r="253" spans="1:6">
      <c r="A253" s="75"/>
      <c r="F253" s="853" t="s">
        <v>520</v>
      </c>
    </row>
    <row r="254" spans="1:6">
      <c r="A254" s="75"/>
      <c r="F254" s="854" t="s">
        <v>519</v>
      </c>
    </row>
    <row r="255" spans="1:6">
      <c r="A255" s="75"/>
      <c r="F255" s="854" t="s">
        <v>518</v>
      </c>
    </row>
    <row r="256" spans="1:6">
      <c r="A256" s="75"/>
      <c r="F256" s="854" t="s">
        <v>517</v>
      </c>
    </row>
    <row r="257" spans="1:6">
      <c r="A257" s="75"/>
      <c r="F257" s="853" t="s">
        <v>516</v>
      </c>
    </row>
    <row r="258" spans="1:6">
      <c r="A258" s="75"/>
      <c r="F258" s="853" t="s">
        <v>515</v>
      </c>
    </row>
    <row r="259" spans="1:6">
      <c r="A259" s="75"/>
      <c r="F259" s="854" t="s">
        <v>514</v>
      </c>
    </row>
    <row r="260" spans="1:6">
      <c r="A260" s="75"/>
      <c r="F260" s="854" t="s">
        <v>513</v>
      </c>
    </row>
    <row r="261" spans="1:6">
      <c r="A261" s="75"/>
      <c r="F261" s="853" t="s">
        <v>512</v>
      </c>
    </row>
    <row r="262" spans="1:6">
      <c r="A262" s="75"/>
    </row>
    <row r="263" spans="1:6">
      <c r="A263" s="75"/>
    </row>
    <row r="264" spans="1:6">
      <c r="A264" s="75"/>
    </row>
    <row r="265" spans="1:6">
      <c r="A265" s="75"/>
    </row>
    <row r="266" spans="1:6">
      <c r="A266" s="75"/>
    </row>
    <row r="267" spans="1:6">
      <c r="A267" s="75"/>
    </row>
    <row r="268" spans="1:6">
      <c r="A268" s="75"/>
    </row>
    <row r="269" spans="1:6">
      <c r="A269" s="75"/>
    </row>
    <row r="270" spans="1:6">
      <c r="A270" s="75"/>
    </row>
    <row r="271" spans="1:6">
      <c r="A271" s="75"/>
    </row>
    <row r="272" spans="1:6">
      <c r="A272" s="75"/>
    </row>
    <row r="273" spans="1:1" s="737" customFormat="1">
      <c r="A273" s="75"/>
    </row>
    <row r="274" spans="1:1" s="737" customFormat="1">
      <c r="A274" s="75"/>
    </row>
    <row r="275" spans="1:1" s="737" customFormat="1">
      <c r="A275" s="75"/>
    </row>
    <row r="276" spans="1:1" s="737" customFormat="1">
      <c r="A276" s="75"/>
    </row>
    <row r="277" spans="1:1" s="737" customFormat="1">
      <c r="A277" s="75"/>
    </row>
    <row r="278" spans="1:1" s="737" customFormat="1">
      <c r="A278" s="75"/>
    </row>
    <row r="279" spans="1:1" s="737" customFormat="1">
      <c r="A279" s="75"/>
    </row>
    <row r="280" spans="1:1" s="737" customFormat="1">
      <c r="A280" s="75"/>
    </row>
    <row r="281" spans="1:1" s="737" customFormat="1">
      <c r="A281" s="75"/>
    </row>
    <row r="282" spans="1:1" s="737" customFormat="1">
      <c r="A282" s="75"/>
    </row>
    <row r="283" spans="1:1" s="737" customFormat="1">
      <c r="A283" s="75"/>
    </row>
    <row r="284" spans="1:1" s="737" customFormat="1">
      <c r="A284" s="851"/>
    </row>
    <row r="285" spans="1:1" s="737" customFormat="1">
      <c r="A285" s="75"/>
    </row>
    <row r="286" spans="1:1" s="737" customFormat="1">
      <c r="A286" s="75"/>
    </row>
    <row r="287" spans="1:1" s="737" customFormat="1">
      <c r="A287" s="75"/>
    </row>
    <row r="288" spans="1:1" s="737" customFormat="1">
      <c r="A288" s="75"/>
    </row>
    <row r="289" spans="1:1" s="737" customFormat="1">
      <c r="A289" s="75"/>
    </row>
    <row r="290" spans="1:1" s="737" customFormat="1">
      <c r="A290" s="75"/>
    </row>
    <row r="291" spans="1:1" s="737" customFormat="1">
      <c r="A291" s="807"/>
    </row>
    <row r="292" spans="1:1" s="737" customFormat="1">
      <c r="A292" s="75"/>
    </row>
    <row r="293" spans="1:1" s="737" customFormat="1">
      <c r="A293" s="75"/>
    </row>
    <row r="294" spans="1:1" s="737" customFormat="1">
      <c r="A294" s="75"/>
    </row>
    <row r="295" spans="1:1" s="737" customFormat="1">
      <c r="A295" s="75"/>
    </row>
    <row r="296" spans="1:1" s="737" customFormat="1">
      <c r="A296" s="75"/>
    </row>
    <row r="297" spans="1:1" s="737" customFormat="1">
      <c r="A297" s="75"/>
    </row>
    <row r="298" spans="1:1" s="737" customFormat="1">
      <c r="A298" s="75"/>
    </row>
    <row r="299" spans="1:1" s="737" customFormat="1">
      <c r="A299" s="75"/>
    </row>
    <row r="300" spans="1:1" s="737" customFormat="1">
      <c r="A300" s="75"/>
    </row>
    <row r="301" spans="1:1" s="737" customFormat="1">
      <c r="A301" s="75"/>
    </row>
    <row r="302" spans="1:1" s="737" customFormat="1">
      <c r="A302" s="75"/>
    </row>
    <row r="303" spans="1:1" s="737" customFormat="1">
      <c r="A303" s="75"/>
    </row>
    <row r="304" spans="1:1" s="737" customFormat="1">
      <c r="A304" s="75"/>
    </row>
    <row r="305" spans="1:1" s="737" customFormat="1">
      <c r="A305" s="75"/>
    </row>
    <row r="306" spans="1:1" s="737" customFormat="1">
      <c r="A306" s="75"/>
    </row>
    <row r="307" spans="1:1" s="737" customFormat="1">
      <c r="A307" s="75"/>
    </row>
    <row r="308" spans="1:1" s="737" customFormat="1">
      <c r="A308" s="75"/>
    </row>
    <row r="309" spans="1:1" s="737" customFormat="1">
      <c r="A309" s="75"/>
    </row>
    <row r="310" spans="1:1" s="737" customFormat="1">
      <c r="A310" s="807"/>
    </row>
    <row r="311" spans="1:1" s="737" customFormat="1">
      <c r="A311" s="75"/>
    </row>
    <row r="312" spans="1:1" s="737" customFormat="1">
      <c r="A312" s="75"/>
    </row>
    <row r="313" spans="1:1" s="737" customFormat="1">
      <c r="A313" s="75"/>
    </row>
    <row r="314" spans="1:1" s="737" customFormat="1">
      <c r="A314" s="75"/>
    </row>
    <row r="315" spans="1:1" s="737" customFormat="1">
      <c r="A315" s="75"/>
    </row>
    <row r="316" spans="1:1" s="737" customFormat="1">
      <c r="A316" s="75"/>
    </row>
    <row r="317" spans="1:1" s="737" customFormat="1">
      <c r="A317" s="75"/>
    </row>
    <row r="318" spans="1:1" s="737" customFormat="1">
      <c r="A318" s="75"/>
    </row>
    <row r="319" spans="1:1" s="737" customFormat="1">
      <c r="A319" s="75"/>
    </row>
    <row r="320" spans="1:1" s="737" customFormat="1">
      <c r="A320" s="75"/>
    </row>
    <row r="321" spans="1:1" s="737" customFormat="1">
      <c r="A321" s="75"/>
    </row>
    <row r="322" spans="1:1" s="737" customFormat="1">
      <c r="A322" s="852"/>
    </row>
    <row r="323" spans="1:1" s="737" customFormat="1">
      <c r="A323" s="75"/>
    </row>
    <row r="324" spans="1:1" s="737" customFormat="1">
      <c r="A324" s="75"/>
    </row>
    <row r="325" spans="1:1" s="737" customFormat="1">
      <c r="A325" s="852"/>
    </row>
    <row r="326" spans="1:1" s="737" customFormat="1">
      <c r="A326" s="75"/>
    </row>
    <row r="327" spans="1:1" s="737" customFormat="1">
      <c r="A327" s="75"/>
    </row>
    <row r="328" spans="1:1" s="737" customFormat="1">
      <c r="A328" s="75"/>
    </row>
    <row r="329" spans="1:1" s="737" customFormat="1">
      <c r="A329" s="75"/>
    </row>
    <row r="330" spans="1:1" s="737" customFormat="1">
      <c r="A330" s="75"/>
    </row>
    <row r="331" spans="1:1" s="737" customFormat="1">
      <c r="A331" s="75"/>
    </row>
    <row r="332" spans="1:1" s="737" customFormat="1">
      <c r="A332" s="75"/>
    </row>
    <row r="333" spans="1:1" s="737" customFormat="1">
      <c r="A333" s="75"/>
    </row>
    <row r="334" spans="1:1" s="737" customFormat="1">
      <c r="A334" s="75"/>
    </row>
    <row r="335" spans="1:1" s="737" customFormat="1">
      <c r="A335" s="75"/>
    </row>
    <row r="336" spans="1:1" s="737" customFormat="1">
      <c r="A336" s="75"/>
    </row>
    <row r="337" spans="1:1" s="737" customFormat="1">
      <c r="A337" s="75"/>
    </row>
    <row r="338" spans="1:1" s="737" customFormat="1">
      <c r="A338" s="75"/>
    </row>
    <row r="339" spans="1:1" s="737" customFormat="1">
      <c r="A339" s="75"/>
    </row>
    <row r="340" spans="1:1" s="737" customFormat="1">
      <c r="A340" s="75"/>
    </row>
    <row r="341" spans="1:1" s="737" customFormat="1">
      <c r="A341" s="75"/>
    </row>
    <row r="342" spans="1:1" s="737" customFormat="1">
      <c r="A342" s="75"/>
    </row>
    <row r="343" spans="1:1" s="737" customFormat="1">
      <c r="A343" s="75"/>
    </row>
    <row r="344" spans="1:1" s="737" customFormat="1">
      <c r="A344" s="75"/>
    </row>
    <row r="345" spans="1:1" s="737" customFormat="1">
      <c r="A345" s="75"/>
    </row>
    <row r="346" spans="1:1" s="737" customFormat="1">
      <c r="A346" s="75"/>
    </row>
    <row r="347" spans="1:1" s="737" customFormat="1">
      <c r="A347" s="75"/>
    </row>
    <row r="348" spans="1:1" s="737" customFormat="1">
      <c r="A348" s="75"/>
    </row>
    <row r="349" spans="1:1" s="737" customFormat="1">
      <c r="A349" s="75"/>
    </row>
    <row r="350" spans="1:1" s="737" customFormat="1">
      <c r="A350" s="75"/>
    </row>
    <row r="351" spans="1:1" s="737" customFormat="1">
      <c r="A351" s="75"/>
    </row>
    <row r="352" spans="1:1" s="737" customFormat="1">
      <c r="A352" s="75"/>
    </row>
    <row r="353" spans="1:1" s="737" customFormat="1">
      <c r="A353" s="75"/>
    </row>
    <row r="354" spans="1:1" s="737" customFormat="1">
      <c r="A354" s="75"/>
    </row>
    <row r="355" spans="1:1" s="737" customFormat="1">
      <c r="A355" s="75"/>
    </row>
    <row r="356" spans="1:1" s="737" customFormat="1">
      <c r="A356" s="75"/>
    </row>
    <row r="357" spans="1:1" s="737" customFormat="1">
      <c r="A357" s="75"/>
    </row>
    <row r="358" spans="1:1" s="737" customFormat="1">
      <c r="A358" s="75"/>
    </row>
    <row r="359" spans="1:1" s="737" customFormat="1">
      <c r="A359" s="75"/>
    </row>
    <row r="360" spans="1:1" s="737" customFormat="1">
      <c r="A360" s="75"/>
    </row>
    <row r="361" spans="1:1" s="737" customFormat="1">
      <c r="A361" s="75"/>
    </row>
    <row r="362" spans="1:1" s="737" customFormat="1">
      <c r="A362" s="75"/>
    </row>
    <row r="363" spans="1:1" s="737" customFormat="1">
      <c r="A363" s="75"/>
    </row>
    <row r="364" spans="1:1" s="737" customFormat="1">
      <c r="A364" s="75"/>
    </row>
    <row r="365" spans="1:1" s="737" customFormat="1">
      <c r="A365" s="75"/>
    </row>
    <row r="366" spans="1:1" s="737" customFormat="1">
      <c r="A366" s="75"/>
    </row>
    <row r="367" spans="1:1" s="737" customFormat="1">
      <c r="A367" s="75"/>
    </row>
    <row r="368" spans="1:1" s="737" customFormat="1">
      <c r="A368" s="75"/>
    </row>
    <row r="369" spans="1:1" s="737" customFormat="1">
      <c r="A369" s="75"/>
    </row>
    <row r="370" spans="1:1" s="737" customFormat="1">
      <c r="A370" s="75"/>
    </row>
    <row r="371" spans="1:1" s="737" customFormat="1">
      <c r="A371" s="75"/>
    </row>
    <row r="372" spans="1:1" s="737" customFormat="1">
      <c r="A372" s="75"/>
    </row>
    <row r="373" spans="1:1" s="737" customFormat="1">
      <c r="A373" s="75"/>
    </row>
    <row r="374" spans="1:1" s="737" customFormat="1">
      <c r="A374" s="75"/>
    </row>
    <row r="375" spans="1:1" s="737" customFormat="1">
      <c r="A375" s="75"/>
    </row>
    <row r="376" spans="1:1" s="737" customFormat="1">
      <c r="A376" s="75"/>
    </row>
    <row r="377" spans="1:1" s="737" customFormat="1">
      <c r="A377" s="75"/>
    </row>
    <row r="378" spans="1:1" s="737" customFormat="1">
      <c r="A378" s="75"/>
    </row>
    <row r="379" spans="1:1" s="737" customFormat="1">
      <c r="A379" s="75"/>
    </row>
    <row r="380" spans="1:1" s="737" customFormat="1">
      <c r="A380" s="852"/>
    </row>
    <row r="381" spans="1:1" s="737" customFormat="1">
      <c r="A381" s="852"/>
    </row>
    <row r="382" spans="1:1" s="737" customFormat="1">
      <c r="A382" s="75"/>
    </row>
    <row r="383" spans="1:1" s="737" customFormat="1">
      <c r="A383" s="75"/>
    </row>
    <row r="384" spans="1:1" s="737" customFormat="1">
      <c r="A384" s="75"/>
    </row>
    <row r="385" spans="1:1" s="737" customFormat="1">
      <c r="A385" s="852"/>
    </row>
    <row r="386" spans="1:1" s="737" customFormat="1">
      <c r="A386" s="852"/>
    </row>
    <row r="387" spans="1:1" s="737" customFormat="1">
      <c r="A387" s="852"/>
    </row>
    <row r="388" spans="1:1" s="737" customFormat="1">
      <c r="A388" s="852"/>
    </row>
    <row r="389" spans="1:1" s="737" customFormat="1">
      <c r="A389" s="852"/>
    </row>
    <row r="390" spans="1:1" s="737" customFormat="1">
      <c r="A390" s="75"/>
    </row>
    <row r="391" spans="1:1" s="737" customFormat="1">
      <c r="A391" s="851"/>
    </row>
    <row r="392" spans="1:1" s="737" customFormat="1">
      <c r="A392" s="75"/>
    </row>
    <row r="393" spans="1:1" s="737" customFormat="1">
      <c r="A393" s="75"/>
    </row>
    <row r="394" spans="1:1" s="737" customFormat="1">
      <c r="A394" s="75"/>
    </row>
    <row r="395" spans="1:1" s="737" customFormat="1">
      <c r="A395" s="75"/>
    </row>
    <row r="396" spans="1:1" s="737" customFormat="1">
      <c r="A396" s="75"/>
    </row>
    <row r="397" spans="1:1" s="737" customFormat="1">
      <c r="A397" s="75"/>
    </row>
    <row r="398" spans="1:1" s="737" customFormat="1">
      <c r="A398" s="75"/>
    </row>
    <row r="399" spans="1:1" s="737" customFormat="1">
      <c r="A399" s="75"/>
    </row>
    <row r="400" spans="1:1" s="737" customFormat="1">
      <c r="A400" s="75"/>
    </row>
    <row r="401" spans="1:1" s="737" customFormat="1">
      <c r="A401" s="75"/>
    </row>
    <row r="402" spans="1:1" s="737" customFormat="1">
      <c r="A402" s="75"/>
    </row>
    <row r="403" spans="1:1" s="737" customFormat="1">
      <c r="A403" s="75"/>
    </row>
    <row r="404" spans="1:1" s="737" customFormat="1">
      <c r="A404" s="75"/>
    </row>
    <row r="405" spans="1:1" s="737" customFormat="1">
      <c r="A405" s="75"/>
    </row>
    <row r="406" spans="1:1" s="737" customFormat="1">
      <c r="A406" s="75"/>
    </row>
    <row r="407" spans="1:1" s="737" customFormat="1">
      <c r="A407" s="75"/>
    </row>
    <row r="408" spans="1:1" s="737" customFormat="1">
      <c r="A408" s="75"/>
    </row>
    <row r="409" spans="1:1" s="737" customFormat="1">
      <c r="A409" s="75"/>
    </row>
    <row r="410" spans="1:1" s="737" customFormat="1">
      <c r="A410" s="75"/>
    </row>
    <row r="411" spans="1:1" s="737" customFormat="1">
      <c r="A411" s="75"/>
    </row>
    <row r="412" spans="1:1" s="737" customFormat="1">
      <c r="A412" s="75"/>
    </row>
    <row r="413" spans="1:1" s="737" customFormat="1">
      <c r="A413" s="75"/>
    </row>
    <row r="414" spans="1:1" s="737" customFormat="1">
      <c r="A414" s="75"/>
    </row>
    <row r="415" spans="1:1" s="737" customFormat="1">
      <c r="A415" s="75"/>
    </row>
    <row r="416" spans="1:1" s="737" customFormat="1">
      <c r="A416" s="75"/>
    </row>
    <row r="417" spans="1:1" s="737" customFormat="1">
      <c r="A417" s="75"/>
    </row>
    <row r="418" spans="1:1" s="737" customFormat="1">
      <c r="A418" s="75"/>
    </row>
    <row r="419" spans="1:1" s="737" customFormat="1">
      <c r="A419" s="75"/>
    </row>
    <row r="420" spans="1:1" s="737" customFormat="1">
      <c r="A420" s="75"/>
    </row>
    <row r="421" spans="1:1" s="737" customFormat="1">
      <c r="A421" s="75"/>
    </row>
    <row r="422" spans="1:1" s="737" customFormat="1">
      <c r="A422" s="75"/>
    </row>
    <row r="423" spans="1:1" s="737" customFormat="1">
      <c r="A423" s="75"/>
    </row>
    <row r="424" spans="1:1" s="737" customFormat="1">
      <c r="A424" s="75"/>
    </row>
    <row r="425" spans="1:1" s="737" customFormat="1">
      <c r="A425" s="75"/>
    </row>
    <row r="426" spans="1:1" s="737" customFormat="1">
      <c r="A426" s="75"/>
    </row>
    <row r="427" spans="1:1" s="737" customFormat="1">
      <c r="A427" s="75"/>
    </row>
    <row r="428" spans="1:1" s="737" customFormat="1">
      <c r="A428" s="75"/>
    </row>
    <row r="429" spans="1:1" s="737" customFormat="1">
      <c r="A429" s="75"/>
    </row>
    <row r="430" spans="1:1" s="737" customFormat="1">
      <c r="A430" s="75"/>
    </row>
    <row r="431" spans="1:1" s="737" customFormat="1">
      <c r="A431" s="75"/>
    </row>
    <row r="432" spans="1:1" s="737" customFormat="1">
      <c r="A432" s="75"/>
    </row>
    <row r="433" spans="1:1" s="737" customFormat="1">
      <c r="A433" s="75"/>
    </row>
    <row r="434" spans="1:1" s="737" customFormat="1">
      <c r="A434" s="75"/>
    </row>
    <row r="435" spans="1:1" s="737" customFormat="1">
      <c r="A435" s="75"/>
    </row>
    <row r="436" spans="1:1" s="737" customFormat="1">
      <c r="A436" s="75"/>
    </row>
    <row r="437" spans="1:1" s="737" customFormat="1">
      <c r="A437" s="75"/>
    </row>
    <row r="438" spans="1:1" s="737" customFormat="1">
      <c r="A438" s="75"/>
    </row>
    <row r="439" spans="1:1" s="737" customFormat="1">
      <c r="A439" s="852"/>
    </row>
    <row r="440" spans="1:1" s="737" customFormat="1">
      <c r="A440" s="852"/>
    </row>
    <row r="441" spans="1:1" s="737" customFormat="1">
      <c r="A441" s="75"/>
    </row>
    <row r="442" spans="1:1" s="737" customFormat="1">
      <c r="A442" s="75"/>
    </row>
    <row r="443" spans="1:1" s="737" customFormat="1">
      <c r="A443" s="75"/>
    </row>
    <row r="444" spans="1:1" s="737" customFormat="1">
      <c r="A444" s="75"/>
    </row>
    <row r="445" spans="1:1" s="737" customFormat="1">
      <c r="A445" s="75"/>
    </row>
    <row r="446" spans="1:1" s="737" customFormat="1">
      <c r="A446" s="75"/>
    </row>
    <row r="447" spans="1:1" s="737" customFormat="1">
      <c r="A447" s="75"/>
    </row>
    <row r="448" spans="1:1" s="737" customFormat="1">
      <c r="A448" s="75"/>
    </row>
    <row r="449" spans="1:1" s="737" customFormat="1">
      <c r="A449" s="75"/>
    </row>
    <row r="450" spans="1:1" s="737" customFormat="1">
      <c r="A450" s="75"/>
    </row>
    <row r="451" spans="1:1" s="737" customFormat="1">
      <c r="A451" s="75"/>
    </row>
    <row r="452" spans="1:1" s="737" customFormat="1">
      <c r="A452" s="75"/>
    </row>
    <row r="453" spans="1:1" s="737" customFormat="1">
      <c r="A453" s="75"/>
    </row>
    <row r="454" spans="1:1" s="737" customFormat="1">
      <c r="A454" s="75"/>
    </row>
    <row r="455" spans="1:1" s="737" customFormat="1">
      <c r="A455" s="75"/>
    </row>
    <row r="456" spans="1:1" s="737" customFormat="1">
      <c r="A456" s="75"/>
    </row>
    <row r="457" spans="1:1" s="737" customFormat="1">
      <c r="A457" s="75"/>
    </row>
    <row r="458" spans="1:1" s="737" customFormat="1">
      <c r="A458" s="75"/>
    </row>
    <row r="459" spans="1:1" s="737" customFormat="1">
      <c r="A459" s="75"/>
    </row>
    <row r="460" spans="1:1" s="737" customFormat="1">
      <c r="A460" s="75"/>
    </row>
    <row r="461" spans="1:1" s="737" customFormat="1">
      <c r="A461" s="75"/>
    </row>
    <row r="462" spans="1:1" s="737" customFormat="1">
      <c r="A462" s="75"/>
    </row>
    <row r="463" spans="1:1" s="737" customFormat="1">
      <c r="A463" s="75"/>
    </row>
    <row r="464" spans="1:1" s="737" customFormat="1">
      <c r="A464" s="75"/>
    </row>
    <row r="465" spans="1:1" s="737" customFormat="1">
      <c r="A465" s="852"/>
    </row>
    <row r="466" spans="1:1" s="737" customFormat="1">
      <c r="A466" s="852"/>
    </row>
    <row r="467" spans="1:1" s="737" customFormat="1">
      <c r="A467" s="75"/>
    </row>
    <row r="468" spans="1:1" s="737" customFormat="1">
      <c r="A468" s="75"/>
    </row>
    <row r="469" spans="1:1" s="737" customFormat="1">
      <c r="A469" s="75"/>
    </row>
    <row r="470" spans="1:1" s="737" customFormat="1">
      <c r="A470" s="75"/>
    </row>
    <row r="471" spans="1:1" s="737" customFormat="1">
      <c r="A471" s="75"/>
    </row>
    <row r="472" spans="1:1" s="737" customFormat="1">
      <c r="A472" s="75"/>
    </row>
    <row r="473" spans="1:1" s="737" customFormat="1">
      <c r="A473" s="75"/>
    </row>
    <row r="474" spans="1:1" s="737" customFormat="1">
      <c r="A474" s="75"/>
    </row>
    <row r="475" spans="1:1" s="737" customFormat="1">
      <c r="A475" s="75"/>
    </row>
    <row r="476" spans="1:1" s="737" customFormat="1">
      <c r="A476" s="75"/>
    </row>
    <row r="477" spans="1:1" s="737" customFormat="1">
      <c r="A477" s="75"/>
    </row>
    <row r="478" spans="1:1" s="737" customFormat="1">
      <c r="A478" s="75"/>
    </row>
    <row r="479" spans="1:1" s="737" customFormat="1">
      <c r="A479" s="75"/>
    </row>
    <row r="480" spans="1:1" s="737" customFormat="1">
      <c r="A480" s="75"/>
    </row>
    <row r="481" spans="1:1" s="737" customFormat="1">
      <c r="A481" s="75"/>
    </row>
    <row r="482" spans="1:1" s="737" customFormat="1">
      <c r="A482" s="75"/>
    </row>
    <row r="483" spans="1:1" s="737" customFormat="1">
      <c r="A483" s="75"/>
    </row>
    <row r="484" spans="1:1" s="737" customFormat="1">
      <c r="A484" s="75"/>
    </row>
    <row r="485" spans="1:1" s="737" customFormat="1">
      <c r="A485" s="75"/>
    </row>
    <row r="486" spans="1:1" s="737" customFormat="1">
      <c r="A486" s="75"/>
    </row>
    <row r="487" spans="1:1" s="737" customFormat="1">
      <c r="A487" s="75"/>
    </row>
    <row r="488" spans="1:1" s="737" customFormat="1">
      <c r="A488" s="75"/>
    </row>
    <row r="489" spans="1:1" s="737" customFormat="1">
      <c r="A489" s="75"/>
    </row>
    <row r="490" spans="1:1" s="737" customFormat="1">
      <c r="A490" s="75"/>
    </row>
    <row r="491" spans="1:1" s="737" customFormat="1">
      <c r="A491" s="75"/>
    </row>
    <row r="492" spans="1:1" s="737" customFormat="1">
      <c r="A492" s="75"/>
    </row>
    <row r="493" spans="1:1" s="737" customFormat="1">
      <c r="A493" s="75"/>
    </row>
    <row r="494" spans="1:1" s="737" customFormat="1">
      <c r="A494" s="75"/>
    </row>
    <row r="495" spans="1:1" s="737" customFormat="1">
      <c r="A495" s="75"/>
    </row>
    <row r="496" spans="1:1" s="737" customFormat="1">
      <c r="A496" s="75"/>
    </row>
    <row r="497" spans="1:1" s="737" customFormat="1">
      <c r="A497" s="75"/>
    </row>
    <row r="498" spans="1:1" s="737" customFormat="1">
      <c r="A498" s="807"/>
    </row>
    <row r="499" spans="1:1" s="737" customFormat="1">
      <c r="A499" s="75"/>
    </row>
    <row r="500" spans="1:1" s="737" customFormat="1">
      <c r="A500" s="75" t="s">
        <v>511</v>
      </c>
    </row>
    <row r="501" spans="1:1" s="737" customFormat="1">
      <c r="A501" s="75"/>
    </row>
    <row r="502" spans="1:1" s="737" customFormat="1">
      <c r="A502" s="75"/>
    </row>
    <row r="503" spans="1:1" s="737" customFormat="1">
      <c r="A503" s="75"/>
    </row>
    <row r="504" spans="1:1" s="737" customFormat="1">
      <c r="A504" s="75"/>
    </row>
    <row r="505" spans="1:1" s="737" customFormat="1">
      <c r="A505" s="75"/>
    </row>
    <row r="506" spans="1:1" s="737" customFormat="1">
      <c r="A506" s="75"/>
    </row>
    <row r="507" spans="1:1" s="737" customFormat="1">
      <c r="A507" s="75"/>
    </row>
    <row r="508" spans="1:1" s="737" customFormat="1">
      <c r="A508" s="75"/>
    </row>
    <row r="509" spans="1:1" s="737" customFormat="1">
      <c r="A509" s="75"/>
    </row>
    <row r="510" spans="1:1" s="737" customFormat="1">
      <c r="A510" s="75"/>
    </row>
    <row r="511" spans="1:1" s="737" customFormat="1">
      <c r="A511" s="852"/>
    </row>
    <row r="512" spans="1:1" s="737" customFormat="1">
      <c r="A512" s="75"/>
    </row>
    <row r="513" spans="1:1" s="737" customFormat="1">
      <c r="A513" s="75"/>
    </row>
    <row r="514" spans="1:1" s="737" customFormat="1">
      <c r="A514" s="75"/>
    </row>
    <row r="515" spans="1:1" s="737" customFormat="1">
      <c r="A515" s="75"/>
    </row>
    <row r="516" spans="1:1" s="737" customFormat="1">
      <c r="A516" s="75"/>
    </row>
    <row r="517" spans="1:1" s="737" customFormat="1">
      <c r="A517" s="75"/>
    </row>
    <row r="518" spans="1:1" s="737" customFormat="1">
      <c r="A518" s="75"/>
    </row>
    <row r="519" spans="1:1" s="737" customFormat="1">
      <c r="A519" s="75"/>
    </row>
    <row r="520" spans="1:1" s="737" customFormat="1">
      <c r="A520" s="75"/>
    </row>
    <row r="521" spans="1:1" s="737" customFormat="1">
      <c r="A521" s="75"/>
    </row>
    <row r="522" spans="1:1" s="737" customFormat="1">
      <c r="A522" s="75"/>
    </row>
    <row r="523" spans="1:1" s="737" customFormat="1">
      <c r="A523" s="75"/>
    </row>
    <row r="524" spans="1:1" s="737" customFormat="1">
      <c r="A524" s="75"/>
    </row>
    <row r="525" spans="1:1" s="737" customFormat="1">
      <c r="A525" s="75"/>
    </row>
    <row r="526" spans="1:1" s="737" customFormat="1">
      <c r="A526" s="75"/>
    </row>
    <row r="527" spans="1:1" s="737" customFormat="1">
      <c r="A527" s="75"/>
    </row>
    <row r="528" spans="1:1" s="737" customFormat="1">
      <c r="A528" s="75"/>
    </row>
    <row r="529" spans="1:1" s="737" customFormat="1">
      <c r="A529" s="75"/>
    </row>
    <row r="530" spans="1:1" s="737" customFormat="1">
      <c r="A530" s="75"/>
    </row>
    <row r="531" spans="1:1" s="737" customFormat="1">
      <c r="A531" s="75"/>
    </row>
    <row r="532" spans="1:1" s="737" customFormat="1">
      <c r="A532" s="75"/>
    </row>
    <row r="533" spans="1:1" s="737" customFormat="1">
      <c r="A533" s="75"/>
    </row>
    <row r="534" spans="1:1" s="737" customFormat="1">
      <c r="A534" s="75"/>
    </row>
    <row r="535" spans="1:1" s="737" customFormat="1">
      <c r="A535" s="75"/>
    </row>
    <row r="536" spans="1:1" s="737" customFormat="1">
      <c r="A536" s="75"/>
    </row>
    <row r="537" spans="1:1" s="737" customFormat="1">
      <c r="A537" s="75"/>
    </row>
    <row r="538" spans="1:1" s="737" customFormat="1">
      <c r="A538" s="75"/>
    </row>
    <row r="539" spans="1:1" s="737" customFormat="1">
      <c r="A539" s="75"/>
    </row>
    <row r="540" spans="1:1" s="737" customFormat="1">
      <c r="A540" s="75"/>
    </row>
    <row r="541" spans="1:1" s="737" customFormat="1">
      <c r="A541" s="75"/>
    </row>
    <row r="542" spans="1:1" s="737" customFormat="1">
      <c r="A542" s="75"/>
    </row>
    <row r="543" spans="1:1" s="737" customFormat="1">
      <c r="A543" s="75"/>
    </row>
    <row r="544" spans="1:1" s="737" customFormat="1">
      <c r="A544" s="75"/>
    </row>
    <row r="545" spans="1:1" s="737" customFormat="1">
      <c r="A545" s="75"/>
    </row>
    <row r="546" spans="1:1" s="737" customFormat="1">
      <c r="A546" s="75"/>
    </row>
    <row r="547" spans="1:1" s="737" customFormat="1">
      <c r="A547" s="75"/>
    </row>
    <row r="548" spans="1:1" s="737" customFormat="1">
      <c r="A548" s="75"/>
    </row>
    <row r="549" spans="1:1" s="737" customFormat="1">
      <c r="A549" s="75"/>
    </row>
    <row r="550" spans="1:1" s="737" customFormat="1">
      <c r="A550" s="75"/>
    </row>
    <row r="551" spans="1:1" s="737" customFormat="1">
      <c r="A551" s="75"/>
    </row>
    <row r="552" spans="1:1" s="737" customFormat="1">
      <c r="A552" s="75"/>
    </row>
    <row r="553" spans="1:1" s="737" customFormat="1">
      <c r="A553" s="75"/>
    </row>
    <row r="554" spans="1:1" s="737" customFormat="1">
      <c r="A554" s="75"/>
    </row>
    <row r="555" spans="1:1" s="737" customFormat="1">
      <c r="A555" s="75"/>
    </row>
    <row r="556" spans="1:1" s="737" customFormat="1">
      <c r="A556" s="75"/>
    </row>
    <row r="557" spans="1:1" s="737" customFormat="1">
      <c r="A557" s="75"/>
    </row>
    <row r="558" spans="1:1" s="737" customFormat="1">
      <c r="A558" s="75"/>
    </row>
    <row r="559" spans="1:1" s="737" customFormat="1">
      <c r="A559" s="75"/>
    </row>
    <row r="560" spans="1:1" s="737" customFormat="1">
      <c r="A560" s="75"/>
    </row>
    <row r="561" spans="1:1" s="737" customFormat="1">
      <c r="A561" s="75"/>
    </row>
    <row r="562" spans="1:1" s="737" customFormat="1">
      <c r="A562" s="75"/>
    </row>
    <row r="563" spans="1:1" s="737" customFormat="1">
      <c r="A563" s="75"/>
    </row>
    <row r="564" spans="1:1" s="737" customFormat="1">
      <c r="A564" s="75"/>
    </row>
    <row r="565" spans="1:1" s="737" customFormat="1">
      <c r="A565" s="75"/>
    </row>
    <row r="566" spans="1:1" s="737" customFormat="1">
      <c r="A566" s="75"/>
    </row>
    <row r="567" spans="1:1" s="737" customFormat="1">
      <c r="A567" s="75"/>
    </row>
    <row r="568" spans="1:1" s="737" customFormat="1">
      <c r="A568" s="75"/>
    </row>
    <row r="569" spans="1:1" s="737" customFormat="1">
      <c r="A569" s="75"/>
    </row>
    <row r="570" spans="1:1" s="737" customFormat="1">
      <c r="A570" s="75"/>
    </row>
    <row r="571" spans="1:1" s="737" customFormat="1">
      <c r="A571" s="75"/>
    </row>
    <row r="572" spans="1:1" s="737" customFormat="1">
      <c r="A572" s="75"/>
    </row>
    <row r="573" spans="1:1" s="737" customFormat="1">
      <c r="A573" s="75"/>
    </row>
    <row r="574" spans="1:1" s="737" customFormat="1">
      <c r="A574" s="75"/>
    </row>
    <row r="575" spans="1:1" s="737" customFormat="1">
      <c r="A575" s="75"/>
    </row>
    <row r="576" spans="1:1" s="737" customFormat="1">
      <c r="A576" s="75"/>
    </row>
    <row r="577" spans="1:1" s="737" customFormat="1">
      <c r="A577" s="75"/>
    </row>
    <row r="578" spans="1:1" s="737" customFormat="1">
      <c r="A578" s="75"/>
    </row>
    <row r="579" spans="1:1" s="737" customFormat="1">
      <c r="A579" s="75"/>
    </row>
    <row r="580" spans="1:1" s="737" customFormat="1">
      <c r="A580" s="75"/>
    </row>
    <row r="581" spans="1:1" s="737" customFormat="1">
      <c r="A581" s="851"/>
    </row>
    <row r="582" spans="1:1" s="737" customFormat="1">
      <c r="A582" s="75"/>
    </row>
    <row r="583" spans="1:1" s="737" customFormat="1">
      <c r="A583" s="75"/>
    </row>
    <row r="584" spans="1:1" s="737" customFormat="1">
      <c r="A584" s="75"/>
    </row>
    <row r="585" spans="1:1" s="737" customFormat="1">
      <c r="A585" s="75"/>
    </row>
    <row r="586" spans="1:1" s="737" customFormat="1">
      <c r="A586" s="75"/>
    </row>
    <row r="587" spans="1:1" s="737" customFormat="1">
      <c r="A587" s="75"/>
    </row>
    <row r="588" spans="1:1" s="737" customFormat="1">
      <c r="A588" s="75"/>
    </row>
    <row r="589" spans="1:1" s="737" customFormat="1">
      <c r="A589" s="75"/>
    </row>
    <row r="590" spans="1:1" s="737" customFormat="1">
      <c r="A590" s="75"/>
    </row>
    <row r="591" spans="1:1" s="737" customFormat="1">
      <c r="A591" s="75"/>
    </row>
    <row r="592" spans="1:1" s="737" customFormat="1">
      <c r="A592" s="75"/>
    </row>
    <row r="593" spans="1:1" s="737" customFormat="1">
      <c r="A593" s="75"/>
    </row>
    <row r="594" spans="1:1" s="737" customFormat="1">
      <c r="A594" s="75"/>
    </row>
    <row r="595" spans="1:1" s="737" customFormat="1">
      <c r="A595" s="75"/>
    </row>
    <row r="596" spans="1:1" s="737" customFormat="1">
      <c r="A596" s="75"/>
    </row>
    <row r="597" spans="1:1" s="737" customFormat="1">
      <c r="A597" s="75"/>
    </row>
    <row r="598" spans="1:1" s="737" customFormat="1">
      <c r="A598" s="75"/>
    </row>
    <row r="599" spans="1:1" s="737" customFormat="1">
      <c r="A599" s="75"/>
    </row>
    <row r="600" spans="1:1" s="737" customFormat="1">
      <c r="A600" s="75"/>
    </row>
    <row r="601" spans="1:1" s="737" customFormat="1">
      <c r="A601" s="75"/>
    </row>
    <row r="602" spans="1:1" s="737" customFormat="1">
      <c r="A602" s="75"/>
    </row>
    <row r="603" spans="1:1" s="737" customFormat="1">
      <c r="A603" s="75"/>
    </row>
    <row r="604" spans="1:1" s="737" customFormat="1">
      <c r="A604" s="75"/>
    </row>
    <row r="605" spans="1:1" s="737" customFormat="1">
      <c r="A605" s="75"/>
    </row>
    <row r="606" spans="1:1" s="737" customFormat="1">
      <c r="A606" s="75"/>
    </row>
    <row r="607" spans="1:1" s="737" customFormat="1">
      <c r="A607" s="75"/>
    </row>
    <row r="608" spans="1:1" s="737" customFormat="1">
      <c r="A608" s="75"/>
    </row>
    <row r="609" spans="1:1" s="737" customFormat="1">
      <c r="A609" s="75"/>
    </row>
    <row r="610" spans="1:1" s="737" customFormat="1">
      <c r="A610" s="75"/>
    </row>
    <row r="611" spans="1:1" s="737" customFormat="1">
      <c r="A611" s="75"/>
    </row>
    <row r="612" spans="1:1" s="737" customFormat="1">
      <c r="A612" s="75"/>
    </row>
    <row r="613" spans="1:1" s="737" customFormat="1">
      <c r="A613" s="75"/>
    </row>
    <row r="614" spans="1:1" s="737" customFormat="1">
      <c r="A614" s="75"/>
    </row>
    <row r="615" spans="1:1" s="737" customFormat="1">
      <c r="A615" s="75"/>
    </row>
    <row r="616" spans="1:1" s="737" customFormat="1">
      <c r="A616" s="75"/>
    </row>
    <row r="617" spans="1:1" s="737" customFormat="1">
      <c r="A617" s="75"/>
    </row>
    <row r="618" spans="1:1" s="737" customFormat="1">
      <c r="A618" s="75"/>
    </row>
    <row r="619" spans="1:1" s="737" customFormat="1">
      <c r="A619" s="75"/>
    </row>
    <row r="620" spans="1:1" s="737" customFormat="1">
      <c r="A620" s="75"/>
    </row>
    <row r="621" spans="1:1" s="737" customFormat="1">
      <c r="A621" s="75"/>
    </row>
    <row r="622" spans="1:1" s="737" customFormat="1">
      <c r="A622" s="75"/>
    </row>
    <row r="623" spans="1:1" s="737" customFormat="1">
      <c r="A623" s="75"/>
    </row>
    <row r="624" spans="1:1" s="737" customFormat="1">
      <c r="A624" s="75"/>
    </row>
    <row r="625" spans="1:1" s="737" customFormat="1">
      <c r="A625" s="75"/>
    </row>
    <row r="626" spans="1:1" s="737" customFormat="1">
      <c r="A626" s="75"/>
    </row>
    <row r="627" spans="1:1" s="737" customFormat="1">
      <c r="A627" s="75"/>
    </row>
    <row r="628" spans="1:1" s="737" customFormat="1">
      <c r="A628" s="75"/>
    </row>
    <row r="629" spans="1:1" s="737" customFormat="1">
      <c r="A629" s="75"/>
    </row>
    <row r="630" spans="1:1" s="737" customFormat="1">
      <c r="A630" s="75"/>
    </row>
    <row r="631" spans="1:1" s="737" customFormat="1">
      <c r="A631" s="75"/>
    </row>
    <row r="632" spans="1:1" s="737" customFormat="1">
      <c r="A632" s="75"/>
    </row>
    <row r="633" spans="1:1" s="737" customFormat="1">
      <c r="A633" s="75"/>
    </row>
    <row r="634" spans="1:1" s="737" customFormat="1">
      <c r="A634" s="75"/>
    </row>
    <row r="635" spans="1:1" s="737" customFormat="1">
      <c r="A635" s="75"/>
    </row>
    <row r="636" spans="1:1" s="737" customFormat="1">
      <c r="A636" s="75"/>
    </row>
    <row r="637" spans="1:1" s="737" customFormat="1">
      <c r="A637" s="75"/>
    </row>
    <row r="638" spans="1:1" s="737" customFormat="1">
      <c r="A638" s="75"/>
    </row>
    <row r="639" spans="1:1" s="737" customFormat="1">
      <c r="A639" s="75"/>
    </row>
    <row r="640" spans="1:1" s="737" customFormat="1">
      <c r="A640" s="75"/>
    </row>
    <row r="641" spans="1:1" s="737" customFormat="1">
      <c r="A641" s="75"/>
    </row>
    <row r="642" spans="1:1" s="737" customFormat="1">
      <c r="A642" s="75"/>
    </row>
    <row r="643" spans="1:1" s="737" customFormat="1">
      <c r="A643" s="75"/>
    </row>
    <row r="644" spans="1:1" s="737" customFormat="1">
      <c r="A644" s="75"/>
    </row>
    <row r="645" spans="1:1" s="737" customFormat="1">
      <c r="A645" s="75"/>
    </row>
    <row r="646" spans="1:1" s="737" customFormat="1">
      <c r="A646" s="75"/>
    </row>
    <row r="647" spans="1:1" s="737" customFormat="1">
      <c r="A647" s="75"/>
    </row>
    <row r="648" spans="1:1" s="737" customFormat="1">
      <c r="A648" s="75"/>
    </row>
    <row r="649" spans="1:1" s="737" customFormat="1">
      <c r="A649" s="75"/>
    </row>
    <row r="650" spans="1:1" s="737" customFormat="1">
      <c r="A650" s="75"/>
    </row>
    <row r="651" spans="1:1" s="737" customFormat="1">
      <c r="A651" s="75"/>
    </row>
    <row r="652" spans="1:1" s="737" customFormat="1">
      <c r="A652" s="75"/>
    </row>
    <row r="653" spans="1:1" s="737" customFormat="1">
      <c r="A653" s="75"/>
    </row>
    <row r="654" spans="1:1" s="737" customFormat="1">
      <c r="A654" s="75"/>
    </row>
    <row r="655" spans="1:1" s="737" customFormat="1">
      <c r="A655" s="75"/>
    </row>
    <row r="656" spans="1:1" s="737" customFormat="1">
      <c r="A656" s="75"/>
    </row>
    <row r="657" spans="1:1" s="737" customFormat="1">
      <c r="A657" s="75"/>
    </row>
    <row r="658" spans="1:1" s="737" customFormat="1">
      <c r="A658" s="75"/>
    </row>
    <row r="659" spans="1:1" s="737" customFormat="1">
      <c r="A659" s="75"/>
    </row>
    <row r="660" spans="1:1" s="737" customFormat="1">
      <c r="A660" s="75"/>
    </row>
    <row r="661" spans="1:1" s="737" customFormat="1">
      <c r="A661" s="75"/>
    </row>
    <row r="662" spans="1:1" s="737" customFormat="1">
      <c r="A662" s="852"/>
    </row>
    <row r="663" spans="1:1" s="737" customFormat="1">
      <c r="A663" s="75"/>
    </row>
    <row r="664" spans="1:1" s="737" customFormat="1">
      <c r="A664" s="75"/>
    </row>
    <row r="665" spans="1:1" s="737" customFormat="1">
      <c r="A665" s="75"/>
    </row>
    <row r="666" spans="1:1" s="737" customFormat="1">
      <c r="A666" s="852"/>
    </row>
    <row r="667" spans="1:1" s="737" customFormat="1">
      <c r="A667" s="75"/>
    </row>
    <row r="668" spans="1:1" s="737" customFormat="1">
      <c r="A668" s="75"/>
    </row>
    <row r="669" spans="1:1" s="737" customFormat="1">
      <c r="A669" s="75"/>
    </row>
    <row r="670" spans="1:1" s="737" customFormat="1">
      <c r="A670" s="852"/>
    </row>
    <row r="671" spans="1:1" s="737" customFormat="1">
      <c r="A671" s="75"/>
    </row>
    <row r="672" spans="1:1" s="737" customFormat="1">
      <c r="A672" s="75"/>
    </row>
    <row r="673" spans="1:1" s="737" customFormat="1">
      <c r="A673" s="75"/>
    </row>
    <row r="674" spans="1:1" s="737" customFormat="1">
      <c r="A674" s="75"/>
    </row>
    <row r="675" spans="1:1" s="737" customFormat="1">
      <c r="A675" s="75"/>
    </row>
    <row r="676" spans="1:1" s="737" customFormat="1">
      <c r="A676" s="75"/>
    </row>
    <row r="677" spans="1:1" s="737" customFormat="1">
      <c r="A677" s="75"/>
    </row>
    <row r="678" spans="1:1" s="737" customFormat="1">
      <c r="A678" s="75"/>
    </row>
    <row r="679" spans="1:1" s="737" customFormat="1">
      <c r="A679" s="852"/>
    </row>
    <row r="680" spans="1:1" s="737" customFormat="1">
      <c r="A680" s="852"/>
    </row>
    <row r="681" spans="1:1" s="737" customFormat="1">
      <c r="A681" s="852"/>
    </row>
    <row r="682" spans="1:1" s="737" customFormat="1">
      <c r="A682" s="852"/>
    </row>
    <row r="683" spans="1:1" s="737" customFormat="1">
      <c r="A683" s="852"/>
    </row>
    <row r="684" spans="1:1" s="737" customFormat="1">
      <c r="A684" s="852"/>
    </row>
    <row r="685" spans="1:1" s="737" customFormat="1">
      <c r="A685" s="852"/>
    </row>
    <row r="686" spans="1:1" s="737" customFormat="1">
      <c r="A686" s="852"/>
    </row>
    <row r="687" spans="1:1" s="737" customFormat="1">
      <c r="A687" s="75"/>
    </row>
    <row r="688" spans="1:1" s="737" customFormat="1">
      <c r="A688" s="852"/>
    </row>
    <row r="689" spans="1:1" s="737" customFormat="1">
      <c r="A689" s="852"/>
    </row>
    <row r="690" spans="1:1" s="737" customFormat="1">
      <c r="A690" s="852"/>
    </row>
    <row r="691" spans="1:1" s="737" customFormat="1">
      <c r="A691" s="75"/>
    </row>
    <row r="692" spans="1:1" s="737" customFormat="1">
      <c r="A692" s="75"/>
    </row>
    <row r="693" spans="1:1" s="737" customFormat="1">
      <c r="A693" s="75"/>
    </row>
    <row r="694" spans="1:1" s="737" customFormat="1">
      <c r="A694" s="75"/>
    </row>
    <row r="695" spans="1:1" s="737" customFormat="1">
      <c r="A695" s="75"/>
    </row>
    <row r="696" spans="1:1" s="737" customFormat="1">
      <c r="A696" s="75"/>
    </row>
    <row r="697" spans="1:1" s="737" customFormat="1">
      <c r="A697" s="75"/>
    </row>
    <row r="698" spans="1:1" s="737" customFormat="1">
      <c r="A698" s="75"/>
    </row>
    <row r="699" spans="1:1" s="737" customFormat="1">
      <c r="A699" s="75"/>
    </row>
    <row r="700" spans="1:1" s="737" customFormat="1">
      <c r="A700" s="75"/>
    </row>
    <row r="701" spans="1:1" s="737" customFormat="1">
      <c r="A701" s="75"/>
    </row>
    <row r="702" spans="1:1" s="737" customFormat="1">
      <c r="A702" s="75"/>
    </row>
    <row r="703" spans="1:1" s="737" customFormat="1">
      <c r="A703" s="75"/>
    </row>
    <row r="704" spans="1:1" s="737" customFormat="1">
      <c r="A704" s="75"/>
    </row>
    <row r="705" spans="1:1" s="737" customFormat="1">
      <c r="A705" s="75"/>
    </row>
    <row r="706" spans="1:1" s="737" customFormat="1">
      <c r="A706" s="75"/>
    </row>
    <row r="707" spans="1:1" s="737" customFormat="1">
      <c r="A707" s="75"/>
    </row>
    <row r="708" spans="1:1" s="737" customFormat="1">
      <c r="A708" s="75"/>
    </row>
    <row r="709" spans="1:1" s="737" customFormat="1">
      <c r="A709" s="75"/>
    </row>
    <row r="710" spans="1:1" s="737" customFormat="1">
      <c r="A710" s="75"/>
    </row>
    <row r="711" spans="1:1" s="737" customFormat="1">
      <c r="A711" s="75"/>
    </row>
    <row r="712" spans="1:1" s="737" customFormat="1">
      <c r="A712" s="75"/>
    </row>
    <row r="713" spans="1:1" s="737" customFormat="1">
      <c r="A713" s="75"/>
    </row>
    <row r="714" spans="1:1" s="737" customFormat="1">
      <c r="A714" s="75"/>
    </row>
    <row r="715" spans="1:1" s="737" customFormat="1">
      <c r="A715" s="75"/>
    </row>
    <row r="716" spans="1:1" s="737" customFormat="1">
      <c r="A716" s="75"/>
    </row>
    <row r="717" spans="1:1" s="737" customFormat="1">
      <c r="A717" s="75"/>
    </row>
    <row r="718" spans="1:1" s="737" customFormat="1">
      <c r="A718" s="75"/>
    </row>
    <row r="719" spans="1:1" s="737" customFormat="1">
      <c r="A719" s="75"/>
    </row>
    <row r="720" spans="1:1" s="737" customFormat="1">
      <c r="A720" s="75"/>
    </row>
    <row r="721" spans="1:1" s="737" customFormat="1">
      <c r="A721" s="75"/>
    </row>
    <row r="722" spans="1:1" s="737" customFormat="1">
      <c r="A722" s="75"/>
    </row>
    <row r="723" spans="1:1" s="737" customFormat="1">
      <c r="A723" s="75"/>
    </row>
    <row r="724" spans="1:1" s="737" customFormat="1">
      <c r="A724" s="75"/>
    </row>
    <row r="725" spans="1:1" s="737" customFormat="1">
      <c r="A725" s="75"/>
    </row>
    <row r="726" spans="1:1" s="737" customFormat="1">
      <c r="A726" s="75"/>
    </row>
    <row r="727" spans="1:1" s="737" customFormat="1">
      <c r="A727" s="75"/>
    </row>
    <row r="728" spans="1:1" s="737" customFormat="1">
      <c r="A728" s="75"/>
    </row>
    <row r="729" spans="1:1" s="737" customFormat="1">
      <c r="A729" s="75"/>
    </row>
    <row r="730" spans="1:1" s="737" customFormat="1">
      <c r="A730" s="75"/>
    </row>
    <row r="731" spans="1:1" s="737" customFormat="1">
      <c r="A731" s="75"/>
    </row>
    <row r="732" spans="1:1" s="737" customFormat="1">
      <c r="A732" s="75"/>
    </row>
    <row r="733" spans="1:1" s="737" customFormat="1">
      <c r="A733" s="75"/>
    </row>
    <row r="734" spans="1:1" s="737" customFormat="1">
      <c r="A734" s="75"/>
    </row>
    <row r="735" spans="1:1" s="737" customFormat="1">
      <c r="A735" s="75"/>
    </row>
    <row r="736" spans="1:1" s="737" customFormat="1">
      <c r="A736" s="75"/>
    </row>
    <row r="737" spans="1:1" s="737" customFormat="1">
      <c r="A737" s="75"/>
    </row>
    <row r="738" spans="1:1" s="737" customFormat="1">
      <c r="A738" s="75"/>
    </row>
    <row r="739" spans="1:1" s="737" customFormat="1">
      <c r="A739" s="75"/>
    </row>
    <row r="740" spans="1:1" s="737" customFormat="1">
      <c r="A740" s="75"/>
    </row>
    <row r="741" spans="1:1" s="737" customFormat="1">
      <c r="A741" s="75"/>
    </row>
    <row r="742" spans="1:1" s="737" customFormat="1">
      <c r="A742" s="75"/>
    </row>
    <row r="743" spans="1:1" s="737" customFormat="1">
      <c r="A743" s="75"/>
    </row>
    <row r="744" spans="1:1" s="737" customFormat="1">
      <c r="A744" s="75"/>
    </row>
    <row r="745" spans="1:1" s="737" customFormat="1">
      <c r="A745" s="75"/>
    </row>
    <row r="746" spans="1:1" s="737" customFormat="1">
      <c r="A746" s="75"/>
    </row>
    <row r="747" spans="1:1" s="737" customFormat="1">
      <c r="A747" s="75"/>
    </row>
    <row r="748" spans="1:1" s="737" customFormat="1">
      <c r="A748" s="852"/>
    </row>
    <row r="749" spans="1:1" s="737" customFormat="1">
      <c r="A749" s="75"/>
    </row>
    <row r="750" spans="1:1" s="737" customFormat="1">
      <c r="A750" s="75"/>
    </row>
    <row r="751" spans="1:1" s="737" customFormat="1">
      <c r="A751" s="852"/>
    </row>
    <row r="752" spans="1:1" s="737" customFormat="1">
      <c r="A752" s="852"/>
    </row>
    <row r="753" spans="1:1" s="737" customFormat="1">
      <c r="A753" s="852"/>
    </row>
    <row r="754" spans="1:1" s="737" customFormat="1">
      <c r="A754" s="852"/>
    </row>
    <row r="755" spans="1:1" s="737" customFormat="1">
      <c r="A755" s="75"/>
    </row>
    <row r="756" spans="1:1" s="737" customFormat="1">
      <c r="A756" s="852"/>
    </row>
    <row r="757" spans="1:1" s="737" customFormat="1">
      <c r="A757" s="75"/>
    </row>
    <row r="758" spans="1:1" s="737" customFormat="1">
      <c r="A758" s="75"/>
    </row>
    <row r="759" spans="1:1" s="737" customFormat="1">
      <c r="A759" s="75"/>
    </row>
    <row r="760" spans="1:1" s="737" customFormat="1">
      <c r="A760" s="75"/>
    </row>
    <row r="761" spans="1:1" s="737" customFormat="1">
      <c r="A761" s="75"/>
    </row>
    <row r="762" spans="1:1" s="737" customFormat="1">
      <c r="A762" s="75"/>
    </row>
    <row r="763" spans="1:1" s="737" customFormat="1">
      <c r="A763" s="75"/>
    </row>
    <row r="764" spans="1:1" s="737" customFormat="1">
      <c r="A764" s="75"/>
    </row>
    <row r="765" spans="1:1" s="737" customFormat="1">
      <c r="A765" s="75"/>
    </row>
    <row r="766" spans="1:1" s="737" customFormat="1">
      <c r="A766" s="851"/>
    </row>
    <row r="767" spans="1:1" s="737" customFormat="1">
      <c r="A767" s="75"/>
    </row>
    <row r="768" spans="1:1" s="737" customFormat="1">
      <c r="A768" s="75"/>
    </row>
    <row r="769" spans="1:1" s="737" customFormat="1">
      <c r="A769" s="75"/>
    </row>
    <row r="770" spans="1:1" s="737" customFormat="1">
      <c r="A770" s="75"/>
    </row>
    <row r="771" spans="1:1" s="737" customFormat="1">
      <c r="A771" s="75"/>
    </row>
    <row r="772" spans="1:1" s="737" customFormat="1">
      <c r="A772" s="75"/>
    </row>
    <row r="773" spans="1:1" s="737" customFormat="1">
      <c r="A773" s="75"/>
    </row>
    <row r="774" spans="1:1" s="737" customFormat="1">
      <c r="A774" s="75"/>
    </row>
    <row r="775" spans="1:1" s="737" customFormat="1">
      <c r="A775" s="75"/>
    </row>
    <row r="776" spans="1:1" s="737" customFormat="1">
      <c r="A776" s="75"/>
    </row>
    <row r="777" spans="1:1" s="737" customFormat="1">
      <c r="A777" s="75"/>
    </row>
    <row r="778" spans="1:1" s="737" customFormat="1">
      <c r="A778" s="75"/>
    </row>
    <row r="779" spans="1:1" s="737" customFormat="1">
      <c r="A779" s="75"/>
    </row>
    <row r="780" spans="1:1" s="737" customFormat="1">
      <c r="A780" s="75"/>
    </row>
    <row r="781" spans="1:1" s="737" customFormat="1">
      <c r="A781" s="75"/>
    </row>
    <row r="782" spans="1:1" s="737" customFormat="1">
      <c r="A782" s="75"/>
    </row>
    <row r="783" spans="1:1" s="737" customFormat="1">
      <c r="A783" s="75"/>
    </row>
    <row r="784" spans="1:1" s="737" customFormat="1">
      <c r="A784" s="75"/>
    </row>
    <row r="785" spans="1:1" s="737" customFormat="1">
      <c r="A785" s="75"/>
    </row>
    <row r="786" spans="1:1" s="737" customFormat="1">
      <c r="A786" s="75"/>
    </row>
    <row r="787" spans="1:1" s="737" customFormat="1">
      <c r="A787" s="75"/>
    </row>
    <row r="788" spans="1:1" s="737" customFormat="1">
      <c r="A788" s="75"/>
    </row>
    <row r="789" spans="1:1" s="737" customFormat="1">
      <c r="A789" s="75"/>
    </row>
    <row r="790" spans="1:1" s="737" customFormat="1">
      <c r="A790" s="75"/>
    </row>
    <row r="791" spans="1:1" s="737" customFormat="1">
      <c r="A791" s="75"/>
    </row>
    <row r="792" spans="1:1" s="737" customFormat="1">
      <c r="A792" s="75"/>
    </row>
    <row r="793" spans="1:1" s="737" customFormat="1">
      <c r="A793" s="75"/>
    </row>
    <row r="794" spans="1:1" s="737" customFormat="1">
      <c r="A794" s="75"/>
    </row>
    <row r="795" spans="1:1" s="737" customFormat="1">
      <c r="A795" s="75"/>
    </row>
    <row r="796" spans="1:1" s="737" customFormat="1">
      <c r="A796" s="75"/>
    </row>
    <row r="797" spans="1:1" s="737" customFormat="1">
      <c r="A797" s="75"/>
    </row>
    <row r="798" spans="1:1" s="737" customFormat="1">
      <c r="A798" s="75"/>
    </row>
    <row r="799" spans="1:1" s="737" customFormat="1">
      <c r="A799" s="75"/>
    </row>
    <row r="800" spans="1:1" s="737" customFormat="1">
      <c r="A800" s="75"/>
    </row>
    <row r="801" spans="1:1" s="737" customFormat="1">
      <c r="A801" s="75"/>
    </row>
    <row r="802" spans="1:1" s="737" customFormat="1">
      <c r="A802" s="75"/>
    </row>
    <row r="803" spans="1:1" s="737" customFormat="1">
      <c r="A803" s="75"/>
    </row>
    <row r="804" spans="1:1" s="737" customFormat="1">
      <c r="A804" s="75"/>
    </row>
    <row r="805" spans="1:1" s="737" customFormat="1">
      <c r="A805" s="75"/>
    </row>
    <row r="806" spans="1:1" s="737" customFormat="1">
      <c r="A806" s="75"/>
    </row>
    <row r="807" spans="1:1" s="737" customFormat="1">
      <c r="A807" s="75"/>
    </row>
    <row r="808" spans="1:1" s="737" customFormat="1">
      <c r="A808" s="75"/>
    </row>
    <row r="809" spans="1:1" s="737" customFormat="1">
      <c r="A809" s="75"/>
    </row>
    <row r="810" spans="1:1" s="737" customFormat="1">
      <c r="A810" s="75"/>
    </row>
    <row r="811" spans="1:1" s="737" customFormat="1">
      <c r="A811" s="75"/>
    </row>
  </sheetData>
  <pageMargins left="0.7" right="0.7" top="0.75" bottom="0.75" header="0.3" footer="0.3"/>
  <pageSetup paperSize="9" orientation="portrait" horizontalDpi="30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I37"/>
  <sheetViews>
    <sheetView workbookViewId="0">
      <selection activeCell="K20" sqref="K20"/>
    </sheetView>
  </sheetViews>
  <sheetFormatPr baseColWidth="10" defaultRowHeight="15"/>
  <cols>
    <col min="1" max="1" width="17.85546875" style="737" customWidth="1"/>
    <col min="2" max="2" width="34" style="737" customWidth="1"/>
    <col min="3" max="3" width="13.140625" style="737" customWidth="1"/>
    <col min="4" max="4" width="13" style="737" customWidth="1"/>
    <col min="5" max="5" width="13.28515625" style="737" customWidth="1"/>
    <col min="6" max="6" width="12.85546875" style="737" customWidth="1"/>
    <col min="7" max="7" width="5.7109375" style="737" customWidth="1"/>
    <col min="8" max="8" width="6.85546875" style="737" customWidth="1"/>
    <col min="9" max="9" width="12" style="737" bestFit="1" customWidth="1"/>
    <col min="10" max="16384" width="11.42578125" style="737"/>
  </cols>
  <sheetData>
    <row r="1" spans="1:9">
      <c r="B1" s="1769" t="s">
        <v>1577</v>
      </c>
      <c r="C1" s="1769"/>
      <c r="D1" s="1769"/>
      <c r="E1" s="1769"/>
    </row>
    <row r="2" spans="1:9">
      <c r="B2" s="1769"/>
      <c r="C2" s="1769"/>
      <c r="D2" s="1769"/>
      <c r="E2" s="1769"/>
    </row>
    <row r="3" spans="1:9" ht="20.25">
      <c r="A3" s="1776" t="s">
        <v>1576</v>
      </c>
      <c r="B3" s="1776"/>
      <c r="C3" s="1776"/>
      <c r="D3" s="1776"/>
      <c r="E3" s="1776"/>
      <c r="F3" s="1776"/>
    </row>
    <row r="4" spans="1:9" ht="15.75" thickBot="1"/>
    <row r="5" spans="1:9">
      <c r="A5" s="1777" t="s">
        <v>1575</v>
      </c>
      <c r="B5" s="1779" t="s">
        <v>506</v>
      </c>
      <c r="C5" s="1765" t="s">
        <v>505</v>
      </c>
      <c r="D5" s="1765" t="s">
        <v>1574</v>
      </c>
      <c r="E5" s="1765" t="s">
        <v>503</v>
      </c>
      <c r="F5" s="1774" t="s">
        <v>502</v>
      </c>
    </row>
    <row r="6" spans="1:9" ht="15.75" thickBot="1">
      <c r="A6" s="1778"/>
      <c r="B6" s="1780"/>
      <c r="C6" s="1766"/>
      <c r="D6" s="1766"/>
      <c r="E6" s="1766"/>
      <c r="F6" s="1775"/>
    </row>
    <row r="7" spans="1:9" ht="15" customHeight="1" thickBot="1">
      <c r="A7" s="957" t="str">
        <f>'[2]Gr liv ACT-PAS'!M3</f>
        <v>Capital</v>
      </c>
      <c r="B7" s="956" t="s">
        <v>1473</v>
      </c>
      <c r="C7" s="333">
        <f>'Gr liv ACT-PAS'!O14</f>
        <v>0</v>
      </c>
      <c r="D7" s="332">
        <f>'Gr liv ACT-PAS'!P14</f>
        <v>12394.69</v>
      </c>
      <c r="E7" s="953">
        <f t="shared" ref="E7:E21" si="0">IF(C7&gt;D7,C7-D7,0)</f>
        <v>0</v>
      </c>
      <c r="F7" s="952">
        <f t="shared" ref="F7:F21" si="1">IF(C7&lt;D7,D7-C7,0)</f>
        <v>12394.69</v>
      </c>
      <c r="H7" s="737">
        <v>1</v>
      </c>
    </row>
    <row r="8" spans="1:9" ht="15" customHeight="1" thickBot="1">
      <c r="A8" s="957" t="str">
        <f>'[2]Gr liv ACT-PAS'!M11</f>
        <v>Emprunt</v>
      </c>
      <c r="B8" s="956" t="s">
        <v>1775</v>
      </c>
      <c r="C8" s="955">
        <f>'Gr liv ACT-PAS'!O26</f>
        <v>0</v>
      </c>
      <c r="D8" s="955">
        <f>'Gr liv ACT-PAS'!P26</f>
        <v>7436.81</v>
      </c>
      <c r="E8" s="953">
        <f t="shared" si="0"/>
        <v>0</v>
      </c>
      <c r="F8" s="952">
        <f t="shared" si="1"/>
        <v>7436.81</v>
      </c>
      <c r="H8" s="737">
        <v>2</v>
      </c>
    </row>
    <row r="9" spans="1:9" ht="15" customHeight="1" thickBot="1">
      <c r="A9" s="960" t="s">
        <v>29</v>
      </c>
      <c r="B9" s="956" t="s">
        <v>1773</v>
      </c>
      <c r="C9" s="955">
        <f>'Gr liv ACT-PAS'!B30</f>
        <v>3470.51</v>
      </c>
      <c r="D9" s="955">
        <f>'Gr liv ACT-PAS'!C30</f>
        <v>0</v>
      </c>
      <c r="E9" s="953">
        <f t="shared" si="0"/>
        <v>3470.51</v>
      </c>
      <c r="F9" s="952">
        <f t="shared" si="1"/>
        <v>0</v>
      </c>
      <c r="G9" s="737">
        <v>1</v>
      </c>
    </row>
    <row r="10" spans="1:9" ht="15" customHeight="1" thickBot="1">
      <c r="A10" s="957" t="s">
        <v>300</v>
      </c>
      <c r="B10" s="956" t="s">
        <v>1774</v>
      </c>
      <c r="C10" s="955">
        <f>'Gr liv ACT-PAS'!B15</f>
        <v>743.68</v>
      </c>
      <c r="D10" s="955">
        <f>'Gr liv ACT-PAS'!C15</f>
        <v>0</v>
      </c>
      <c r="E10" s="953">
        <f t="shared" si="0"/>
        <v>743.68</v>
      </c>
      <c r="F10" s="952">
        <f t="shared" si="1"/>
        <v>0</v>
      </c>
      <c r="G10" s="737">
        <v>2</v>
      </c>
    </row>
    <row r="11" spans="1:9" ht="15" customHeight="1" thickBot="1">
      <c r="A11" s="957" t="s">
        <v>292</v>
      </c>
      <c r="B11" s="956" t="s">
        <v>1761</v>
      </c>
      <c r="C11" s="955">
        <f>'Gr liv ACT-PAS'!B44</f>
        <v>1983.15</v>
      </c>
      <c r="D11" s="955">
        <f>'Gr liv ACT-PAS'!C44</f>
        <v>0</v>
      </c>
      <c r="E11" s="953">
        <f t="shared" si="0"/>
        <v>1983.15</v>
      </c>
      <c r="F11" s="952">
        <f t="shared" si="1"/>
        <v>0</v>
      </c>
      <c r="G11" s="737">
        <v>3</v>
      </c>
      <c r="I11" s="166">
        <f>SUM(E9:E11)</f>
        <v>6197.34</v>
      </c>
    </row>
    <row r="12" spans="1:9" ht="15" customHeight="1" thickBot="1">
      <c r="A12" s="957" t="s">
        <v>1573</v>
      </c>
      <c r="B12" s="956" t="s">
        <v>1772</v>
      </c>
      <c r="C12" s="955">
        <f>'Gr liv ACT-PAS'!B74</f>
        <v>6197.34</v>
      </c>
      <c r="D12" s="954">
        <f>'Gr liv ACT-PAS'!C74</f>
        <v>0</v>
      </c>
      <c r="E12" s="953">
        <f t="shared" si="0"/>
        <v>6197.34</v>
      </c>
      <c r="F12" s="952">
        <f t="shared" si="1"/>
        <v>0</v>
      </c>
      <c r="G12" s="737">
        <v>4</v>
      </c>
    </row>
    <row r="13" spans="1:9" ht="15" customHeight="1" thickBot="1">
      <c r="A13" s="957" t="str">
        <f>'[2]Gr liv ACT-PAS'!C58</f>
        <v>client</v>
      </c>
      <c r="B13" s="956" t="s">
        <v>1764</v>
      </c>
      <c r="C13" s="955">
        <f>'Gr liv ACT-PAS'!B98</f>
        <v>6581.5819000000001</v>
      </c>
      <c r="D13" s="955">
        <f>'Gr liv ACT-PAS'!C98</f>
        <v>1650</v>
      </c>
      <c r="E13" s="959">
        <f t="shared" si="0"/>
        <v>4931.5819000000001</v>
      </c>
      <c r="F13" s="958">
        <f t="shared" si="1"/>
        <v>0</v>
      </c>
      <c r="G13" s="737">
        <v>5</v>
      </c>
    </row>
    <row r="14" spans="1:9" ht="15" customHeight="1" thickBot="1">
      <c r="A14" s="957" t="s">
        <v>1572</v>
      </c>
      <c r="B14" s="956" t="s">
        <v>1801</v>
      </c>
      <c r="C14" s="955">
        <f>'Gr liv ACT-PAS'!Q181</f>
        <v>0</v>
      </c>
      <c r="D14" s="955">
        <f>'Gr liv ACT-PAS'!R181</f>
        <v>193.60319999999999</v>
      </c>
      <c r="E14" s="953">
        <f t="shared" si="0"/>
        <v>0</v>
      </c>
      <c r="F14" s="952">
        <f t="shared" si="1"/>
        <v>193.60319999999999</v>
      </c>
      <c r="H14" s="737">
        <v>3</v>
      </c>
    </row>
    <row r="15" spans="1:9" ht="15" customHeight="1" thickBot="1">
      <c r="A15" s="957" t="str">
        <f>'[2]Gr liv ACT-PAS'!M58</f>
        <v>Fournisseur</v>
      </c>
      <c r="B15" s="956" t="s">
        <v>1765</v>
      </c>
      <c r="C15" s="955">
        <f>'Gr liv ACT-PAS'!O94</f>
        <v>1650</v>
      </c>
      <c r="D15" s="955">
        <f>'Gr liv ACT-PAS'!P94</f>
        <v>2974.72</v>
      </c>
      <c r="E15" s="953">
        <f t="shared" si="0"/>
        <v>0</v>
      </c>
      <c r="F15" s="952">
        <f t="shared" si="1"/>
        <v>1324.7199999999998</v>
      </c>
      <c r="H15" s="737">
        <v>4</v>
      </c>
    </row>
    <row r="16" spans="1:9" ht="15" customHeight="1" thickBot="1">
      <c r="A16" s="957" t="s">
        <v>1811</v>
      </c>
      <c r="B16" s="956" t="s">
        <v>1782</v>
      </c>
      <c r="C16" s="955">
        <f>'Gr liv ACT-PAS'!G179</f>
        <v>449.26350000000002</v>
      </c>
      <c r="D16" s="955">
        <f>'Gr liv ACT-PAS'!H179</f>
        <v>0</v>
      </c>
      <c r="E16" s="953">
        <f t="shared" si="0"/>
        <v>449.26350000000002</v>
      </c>
      <c r="F16" s="952">
        <f t="shared" si="1"/>
        <v>0</v>
      </c>
      <c r="G16" s="737">
        <v>6</v>
      </c>
    </row>
    <row r="17" spans="1:9" ht="15" customHeight="1" thickBot="1">
      <c r="A17" s="957" t="s">
        <v>217</v>
      </c>
      <c r="B17" s="956" t="s">
        <v>1776</v>
      </c>
      <c r="C17" s="955">
        <f>'Gr liv ACT-PAS'!B118</f>
        <v>5988.14</v>
      </c>
      <c r="D17" s="955">
        <f>'Gr liv ACT-PAS'!C118</f>
        <v>1650</v>
      </c>
      <c r="E17" s="953">
        <f t="shared" si="0"/>
        <v>4338.1400000000003</v>
      </c>
      <c r="F17" s="952">
        <f t="shared" si="1"/>
        <v>0</v>
      </c>
      <c r="G17" s="737">
        <v>7</v>
      </c>
    </row>
    <row r="18" spans="1:9" ht="15" customHeight="1" thickBot="1">
      <c r="A18" s="957" t="str">
        <f>'[2]Gr liv ACT-PAS'!C88</f>
        <v>banq poste</v>
      </c>
      <c r="B18" s="956" t="s">
        <v>1777</v>
      </c>
      <c r="C18" s="955">
        <f>'Gr liv ACT-PAS'!B140</f>
        <v>1239.47</v>
      </c>
      <c r="D18" s="955">
        <f>'Gr liv ACT-PAS'!C140</f>
        <v>0</v>
      </c>
      <c r="E18" s="953">
        <f t="shared" si="0"/>
        <v>1239.47</v>
      </c>
      <c r="F18" s="952">
        <f t="shared" si="1"/>
        <v>0</v>
      </c>
      <c r="G18" s="737">
        <v>8</v>
      </c>
    </row>
    <row r="19" spans="1:9" ht="15" customHeight="1" thickBot="1">
      <c r="A19" s="957" t="str">
        <f>'[2]Gr liv ACT-PAS'!C96</f>
        <v>caisse</v>
      </c>
      <c r="B19" s="956" t="s">
        <v>1778</v>
      </c>
      <c r="C19" s="955">
        <f>'Gr liv ACT-PAS'!B156</f>
        <v>1611.31</v>
      </c>
      <c r="D19" s="955">
        <f>'Gr liv ACT-PAS'!C156</f>
        <v>0</v>
      </c>
      <c r="E19" s="953">
        <f t="shared" si="0"/>
        <v>1611.31</v>
      </c>
      <c r="F19" s="952">
        <f t="shared" si="1"/>
        <v>0</v>
      </c>
      <c r="G19" s="737">
        <v>9</v>
      </c>
    </row>
    <row r="20" spans="1:9" ht="15" customHeight="1" thickBot="1">
      <c r="A20" s="957" t="str">
        <f>'[2]Gr liv ACT-PAS'!C113</f>
        <v>Achat march</v>
      </c>
      <c r="B20" s="956" t="s">
        <v>1766</v>
      </c>
      <c r="C20" s="955">
        <f>'Gr liv ACT-PAS'!B179</f>
        <v>1395.67</v>
      </c>
      <c r="D20" s="955">
        <f>'Gr liv ACT-PAS'!C179</f>
        <v>0</v>
      </c>
      <c r="E20" s="1282">
        <f t="shared" si="0"/>
        <v>1395.67</v>
      </c>
      <c r="F20" s="952">
        <f t="shared" si="1"/>
        <v>0</v>
      </c>
      <c r="G20" s="737">
        <v>10</v>
      </c>
      <c r="I20" s="166">
        <f>SUM(E12:E20)</f>
        <v>20162.775400000006</v>
      </c>
    </row>
    <row r="21" spans="1:9" ht="15" customHeight="1" thickBot="1">
      <c r="A21" s="957" t="str">
        <f>'[2]Gr liv ACT-PAS'!M113</f>
        <v>Vente Mach</v>
      </c>
      <c r="B21" s="956" t="s">
        <v>1770</v>
      </c>
      <c r="C21" s="955">
        <f>'Gr liv ACT-PAS'!L181</f>
        <v>0</v>
      </c>
      <c r="D21" s="955">
        <f>'Gr liv ACT-PAS'!M181</f>
        <v>921.92</v>
      </c>
      <c r="E21" s="953">
        <f t="shared" si="0"/>
        <v>0</v>
      </c>
      <c r="F21" s="1283">
        <f t="shared" si="1"/>
        <v>921.92</v>
      </c>
      <c r="H21" s="737">
        <v>5</v>
      </c>
    </row>
    <row r="22" spans="1:9" ht="15" customHeight="1">
      <c r="A22" s="951" t="s">
        <v>412</v>
      </c>
      <c r="B22" s="950"/>
      <c r="C22" s="949">
        <f>SUM(C7:C21)</f>
        <v>31310.115400000002</v>
      </c>
      <c r="D22" s="948">
        <f>SUM(D7:D21)</f>
        <v>27221.743200000001</v>
      </c>
      <c r="E22" s="947">
        <f>SUM(E7:E21)</f>
        <v>26360.115400000002</v>
      </c>
      <c r="F22" s="946">
        <f>SUM(F7:F21)</f>
        <v>22271.743200000001</v>
      </c>
    </row>
    <row r="23" spans="1:9" ht="15" customHeight="1" thickBot="1">
      <c r="A23" s="945"/>
      <c r="B23" s="944"/>
      <c r="C23" s="1770" t="str">
        <f>IF(C22=D22,"Ok","Erreur")</f>
        <v>Erreur</v>
      </c>
      <c r="D23" s="1771"/>
      <c r="E23" s="1772" t="str">
        <f>IF(E22=F22,"Ok","Erreur")</f>
        <v>Erreur</v>
      </c>
      <c r="F23" s="1773"/>
    </row>
    <row r="25" spans="1:9" ht="15" customHeight="1">
      <c r="B25" s="1767" t="s">
        <v>1571</v>
      </c>
      <c r="C25" s="1767"/>
      <c r="D25" s="1767"/>
      <c r="E25" s="1767"/>
      <c r="F25" s="1768"/>
    </row>
    <row r="26" spans="1:9">
      <c r="C26" s="21"/>
      <c r="D26" s="21"/>
      <c r="E26" s="661"/>
    </row>
    <row r="27" spans="1:9">
      <c r="A27" s="4"/>
      <c r="B27" s="4"/>
      <c r="C27" s="942"/>
      <c r="D27" s="943"/>
      <c r="E27" s="942"/>
      <c r="F27" s="4"/>
    </row>
    <row r="28" spans="1:9">
      <c r="A28" s="941" t="s">
        <v>1570</v>
      </c>
      <c r="B28" s="4"/>
      <c r="C28" s="21"/>
      <c r="D28" s="21"/>
      <c r="E28" s="21"/>
      <c r="F28" s="4"/>
    </row>
    <row r="29" spans="1:9">
      <c r="A29" s="941" t="s">
        <v>1569</v>
      </c>
      <c r="B29" s="4"/>
      <c r="C29" s="631"/>
      <c r="D29" s="631"/>
      <c r="E29" s="631"/>
      <c r="F29" s="4"/>
    </row>
    <row r="30" spans="1:9">
      <c r="A30" s="941" t="s">
        <v>1788</v>
      </c>
      <c r="B30" s="4"/>
      <c r="C30" s="631"/>
      <c r="D30" s="631"/>
      <c r="E30" s="631"/>
      <c r="F30" s="4"/>
    </row>
    <row r="31" spans="1:9">
      <c r="A31" s="941"/>
      <c r="B31" s="4"/>
      <c r="C31" s="631"/>
      <c r="D31" s="631"/>
      <c r="E31" s="631"/>
      <c r="F31" s="4"/>
    </row>
    <row r="32" spans="1:9">
      <c r="A32" s="941" t="s">
        <v>1796</v>
      </c>
      <c r="B32" s="4"/>
      <c r="C32" s="631"/>
      <c r="D32" s="631"/>
      <c r="E32" s="631"/>
      <c r="F32" s="4"/>
    </row>
    <row r="33" spans="1:6">
      <c r="A33" s="1255" t="s">
        <v>1797</v>
      </c>
      <c r="B33" s="4"/>
      <c r="C33" s="4"/>
      <c r="D33" s="4"/>
      <c r="E33" s="4"/>
      <c r="F33" s="4"/>
    </row>
    <row r="34" spans="1:6">
      <c r="A34" s="1255" t="s">
        <v>1799</v>
      </c>
      <c r="B34" s="4"/>
      <c r="C34" s="4"/>
      <c r="D34" s="4"/>
      <c r="E34" s="4"/>
      <c r="F34" s="4"/>
    </row>
    <row r="35" spans="1:6">
      <c r="A35" s="1255"/>
      <c r="B35" s="4"/>
      <c r="C35" s="4"/>
      <c r="D35" s="4"/>
      <c r="E35" s="4"/>
      <c r="F35" s="4"/>
    </row>
    <row r="36" spans="1:6" s="139" customFormat="1">
      <c r="A36" s="139" t="s">
        <v>1798</v>
      </c>
    </row>
    <row r="37" spans="1:6">
      <c r="A37" s="4"/>
      <c r="B37" s="4"/>
      <c r="C37" s="4"/>
      <c r="D37" s="4"/>
      <c r="E37" s="4"/>
      <c r="F37" s="4"/>
    </row>
  </sheetData>
  <mergeCells count="11">
    <mergeCell ref="E5:E6"/>
    <mergeCell ref="B25:F25"/>
    <mergeCell ref="B1:E2"/>
    <mergeCell ref="C23:D23"/>
    <mergeCell ref="E23:F23"/>
    <mergeCell ref="F5:F6"/>
    <mergeCell ref="A3:F3"/>
    <mergeCell ref="A5:A6"/>
    <mergeCell ref="B5:B6"/>
    <mergeCell ref="C5:C6"/>
    <mergeCell ref="D5:D6"/>
  </mergeCells>
  <dataValidations count="1">
    <dataValidation type="list" allowBlank="1" showInputMessage="1" showErrorMessage="1" sqref="B7:B21">
      <formula1>IF(COUNTIF(Plan20,B7)=0,Plan20,OFFSET(Plan10,1,MATCH(B7,Plan20,0)-1,COUNTA(OFFSET(Plan10,,MATCH(B7,Plan20,0)-1))-1))</formula1>
    </dataValidation>
  </dataValidations>
  <pageMargins left="0.25" right="0.25" top="0.75" bottom="0.75" header="0.3" footer="0.3"/>
  <pageSetup paperSize="9" scale="76" fitToHeight="0" orientation="portrait" r:id="rId1"/>
  <headerFooter>
    <oddHeader>&amp;Ldernoncourt
jordan&amp;Csi noel 2014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U162"/>
  <sheetViews>
    <sheetView topLeftCell="A82" workbookViewId="0">
      <selection activeCell="H4" sqref="H4:J4"/>
    </sheetView>
  </sheetViews>
  <sheetFormatPr baseColWidth="10" defaultRowHeight="15"/>
  <cols>
    <col min="1" max="1" width="3.42578125" style="1059" customWidth="1"/>
    <col min="2" max="2" width="7.7109375" style="737" customWidth="1"/>
    <col min="3" max="3" width="8" style="934" customWidth="1"/>
    <col min="4" max="4" width="8.28515625" style="934" customWidth="1"/>
    <col min="5" max="5" width="12.5703125" style="737" customWidth="1"/>
    <col min="6" max="6" width="13.42578125" style="737" customWidth="1"/>
    <col min="7" max="7" width="12" style="75" customWidth="1"/>
    <col min="8" max="8" width="12.85546875" style="737" customWidth="1"/>
    <col min="9" max="9" width="13.7109375" style="737" customWidth="1"/>
    <col min="10" max="10" width="13.42578125" style="737" customWidth="1"/>
    <col min="11" max="11" width="12" style="737" bestFit="1" customWidth="1"/>
    <col min="12" max="16384" width="11.42578125" style="737"/>
  </cols>
  <sheetData>
    <row r="1" spans="1:21">
      <c r="A1" s="1549"/>
      <c r="C1" s="1548"/>
      <c r="D1" s="1548"/>
    </row>
    <row r="2" spans="1:21">
      <c r="A2" s="1549"/>
      <c r="C2" s="1548"/>
      <c r="D2" s="1548"/>
    </row>
    <row r="3" spans="1:21">
      <c r="A3" s="1549"/>
      <c r="C3" s="1548"/>
      <c r="D3" s="1548"/>
    </row>
    <row r="4" spans="1:21" ht="16.5" thickBot="1">
      <c r="A4" s="1549"/>
      <c r="B4" s="1784" t="s">
        <v>1760</v>
      </c>
      <c r="C4" s="1785"/>
      <c r="D4" s="1785"/>
      <c r="E4" s="1785"/>
      <c r="F4" s="1785"/>
      <c r="G4" s="1786"/>
      <c r="H4" s="1615"/>
      <c r="I4" s="1624"/>
      <c r="J4" s="1624"/>
    </row>
    <row r="5" spans="1:21" ht="16.5" thickTop="1" thickBot="1">
      <c r="A5" s="1292"/>
      <c r="B5" s="1252" t="s">
        <v>1757</v>
      </c>
      <c r="C5" s="1251" t="s">
        <v>1756</v>
      </c>
      <c r="D5" s="1251" t="s">
        <v>1756</v>
      </c>
      <c r="G5" s="868" t="s">
        <v>1747</v>
      </c>
      <c r="H5" s="1242" t="s">
        <v>1484</v>
      </c>
      <c r="I5" s="1253" t="s">
        <v>1759</v>
      </c>
      <c r="J5" s="1253" t="s">
        <v>1758</v>
      </c>
    </row>
    <row r="6" spans="1:21" ht="15.75" thickBot="1">
      <c r="A6" s="1292"/>
      <c r="B6" s="21" t="s">
        <v>1755</v>
      </c>
      <c r="C6" s="1250" t="s">
        <v>1754</v>
      </c>
      <c r="D6" s="1250" t="s">
        <v>1754</v>
      </c>
      <c r="E6" s="888" t="s">
        <v>1748</v>
      </c>
      <c r="G6" s="737"/>
      <c r="H6" s="75"/>
      <c r="I6" s="1491" t="s">
        <v>12</v>
      </c>
      <c r="J6" s="1491" t="s">
        <v>12</v>
      </c>
    </row>
    <row r="7" spans="1:21">
      <c r="B7" s="21"/>
      <c r="C7" s="1250" t="s">
        <v>1752</v>
      </c>
      <c r="D7" s="1250" t="s">
        <v>1750</v>
      </c>
      <c r="E7" s="4" t="s">
        <v>1737</v>
      </c>
      <c r="G7" s="737"/>
      <c r="H7" s="75"/>
      <c r="I7" s="1247" t="s">
        <v>370</v>
      </c>
      <c r="J7" s="1247" t="s">
        <v>370</v>
      </c>
    </row>
    <row r="8" spans="1:21">
      <c r="A8" s="1549"/>
      <c r="B8" s="21"/>
      <c r="C8" s="661"/>
      <c r="D8" s="661"/>
      <c r="G8" s="737"/>
      <c r="H8" s="75"/>
      <c r="I8" s="1247" t="s">
        <v>1751</v>
      </c>
      <c r="J8" s="825" t="s">
        <v>1750</v>
      </c>
    </row>
    <row r="9" spans="1:21" ht="15.75" thickBot="1">
      <c r="A9" s="1549"/>
      <c r="B9" s="21"/>
      <c r="C9" s="661"/>
      <c r="D9" s="661"/>
      <c r="G9" s="737"/>
      <c r="H9" s="75"/>
      <c r="I9" s="715"/>
      <c r="J9" s="715"/>
    </row>
    <row r="10" spans="1:21" ht="15.75" thickBot="1">
      <c r="A10" s="1549"/>
      <c r="B10" s="1246" t="str">
        <f>'Liv-Four-client'!E12</f>
        <v>C0001</v>
      </c>
      <c r="C10" s="889">
        <v>550</v>
      </c>
      <c r="D10" s="869">
        <v>400</v>
      </c>
      <c r="G10" s="1246" t="str">
        <f>'Val-Départ'!$C$13</f>
        <v>Nicolas</v>
      </c>
      <c r="H10" s="75"/>
      <c r="I10" s="1487">
        <f>IF(('Val-Départ'!G13=""),"",VLOOKUP('Val-Départ'!G13,'Val-Départ'!G13:AE24,24,FALSE))</f>
        <v>2565.91</v>
      </c>
      <c r="J10" s="1157">
        <f>IF(('Val-Départ'!G13=""),"",VLOOKUP('Val-Départ'!G13,'Val-Départ'!G13:AE24,18,FALSE))</f>
        <v>2565.91</v>
      </c>
    </row>
    <row r="11" spans="1:21">
      <c r="A11" s="1292"/>
      <c r="C11" s="1288"/>
      <c r="D11" s="1288"/>
    </row>
    <row r="12" spans="1:21">
      <c r="A12" s="1549"/>
      <c r="C12" s="1548"/>
      <c r="D12" s="1548"/>
    </row>
    <row r="13" spans="1:21">
      <c r="A13" s="1549"/>
      <c r="C13" s="1548"/>
      <c r="D13" s="1548"/>
    </row>
    <row r="14" spans="1:21">
      <c r="A14" s="1549"/>
      <c r="C14" s="1548"/>
      <c r="D14" s="1548"/>
    </row>
    <row r="15" spans="1:21">
      <c r="A15" s="1549"/>
      <c r="C15" s="1548"/>
      <c r="D15" s="1548"/>
    </row>
    <row r="16" spans="1:21" ht="16.5" thickBot="1">
      <c r="B16" s="1784" t="s">
        <v>1760</v>
      </c>
      <c r="C16" s="1785"/>
      <c r="D16" s="1785"/>
      <c r="E16" s="1785"/>
      <c r="F16" s="1785"/>
      <c r="G16" s="1786"/>
      <c r="H16" s="1253" t="s">
        <v>1759</v>
      </c>
      <c r="I16" s="1253" t="s">
        <v>1758</v>
      </c>
      <c r="J16" s="4"/>
      <c r="K16" s="4"/>
      <c r="M16" s="231"/>
      <c r="N16" s="21"/>
      <c r="O16" s="661"/>
      <c r="P16" s="661"/>
      <c r="Q16" s="706"/>
      <c r="R16" s="706"/>
      <c r="S16" s="317"/>
      <c r="T16" s="715"/>
      <c r="U16" s="715"/>
    </row>
    <row r="17" spans="1:19" ht="16.5" thickTop="1">
      <c r="B17" s="1252" t="s">
        <v>1757</v>
      </c>
      <c r="C17" s="1251" t="s">
        <v>1756</v>
      </c>
      <c r="D17" s="1251" t="s">
        <v>1756</v>
      </c>
      <c r="E17" s="1788" t="s">
        <v>269</v>
      </c>
      <c r="F17" s="1789"/>
      <c r="G17" s="1790"/>
      <c r="M17" s="1059"/>
      <c r="O17" s="934"/>
      <c r="P17" s="934"/>
      <c r="S17" s="75"/>
    </row>
    <row r="18" spans="1:19" ht="15.75">
      <c r="B18" s="21" t="s">
        <v>1755</v>
      </c>
      <c r="C18" s="1250" t="s">
        <v>1754</v>
      </c>
      <c r="D18" s="1250" t="s">
        <v>1754</v>
      </c>
      <c r="E18" s="1791" t="s">
        <v>1753</v>
      </c>
      <c r="F18" s="1792"/>
      <c r="G18" s="1793"/>
      <c r="H18" s="1247" t="s">
        <v>370</v>
      </c>
      <c r="I18" s="1247" t="s">
        <v>370</v>
      </c>
      <c r="M18" s="1059"/>
      <c r="O18" s="934"/>
      <c r="P18" s="934"/>
      <c r="S18" s="75"/>
    </row>
    <row r="19" spans="1:19" ht="16.5" thickBot="1">
      <c r="B19" s="21"/>
      <c r="C19" s="1250" t="s">
        <v>1752</v>
      </c>
      <c r="D19" s="1250" t="s">
        <v>1750</v>
      </c>
      <c r="E19" s="1249"/>
      <c r="F19" s="787"/>
      <c r="G19" s="1248"/>
      <c r="H19" s="1247" t="s">
        <v>1751</v>
      </c>
      <c r="I19" s="825" t="s">
        <v>1750</v>
      </c>
      <c r="M19" s="1059"/>
      <c r="O19" s="934"/>
      <c r="P19" s="934"/>
      <c r="S19" s="75"/>
    </row>
    <row r="20" spans="1:19" ht="15.75" thickBot="1">
      <c r="A20" s="1059">
        <v>13</v>
      </c>
      <c r="B20" s="1488"/>
      <c r="C20" s="1489"/>
      <c r="D20" s="1490"/>
      <c r="E20" s="1795" t="s">
        <v>269</v>
      </c>
      <c r="F20" s="1796"/>
      <c r="G20" s="1797"/>
      <c r="H20" s="1491" t="s">
        <v>12</v>
      </c>
      <c r="I20" s="1491" t="s">
        <v>12</v>
      </c>
    </row>
    <row r="21" spans="1:19" ht="15.75" thickBot="1">
      <c r="B21" s="1484"/>
      <c r="C21" s="737"/>
      <c r="D21" s="1485"/>
      <c r="E21" s="888" t="s">
        <v>1748</v>
      </c>
      <c r="F21" s="4" t="s">
        <v>1737</v>
      </c>
      <c r="G21" s="1486"/>
      <c r="I21" s="738"/>
      <c r="J21" s="737">
        <v>13</v>
      </c>
      <c r="K21" s="661"/>
      <c r="L21" s="75"/>
    </row>
    <row r="22" spans="1:19">
      <c r="C22" s="938"/>
      <c r="D22" s="737"/>
      <c r="E22" s="868" t="s">
        <v>1747</v>
      </c>
      <c r="F22" s="1246" t="str">
        <f>'Val-Départ'!$C$13</f>
        <v>Nicolas</v>
      </c>
      <c r="G22" s="932"/>
      <c r="H22" s="1133"/>
      <c r="J22" s="737">
        <v>14</v>
      </c>
      <c r="L22" s="139"/>
    </row>
    <row r="23" spans="1:19" ht="15.75" thickBot="1">
      <c r="B23" s="1245"/>
      <c r="C23" s="1244"/>
      <c r="D23" s="1243"/>
      <c r="E23" s="1242" t="s">
        <v>1484</v>
      </c>
      <c r="F23" s="1222" t="s">
        <v>1746</v>
      </c>
      <c r="G23" s="1246" t="str">
        <f>'Val-Départ'!C13</f>
        <v>Nicolas</v>
      </c>
      <c r="H23" s="1241"/>
      <c r="I23" s="1240"/>
      <c r="J23" s="737">
        <v>15</v>
      </c>
    </row>
    <row r="24" spans="1:19" ht="15.75" thickBot="1">
      <c r="A24" s="1059">
        <v>14</v>
      </c>
      <c r="B24" s="42"/>
      <c r="C24" s="909"/>
      <c r="D24" s="909"/>
      <c r="E24" s="1218"/>
      <c r="F24" s="826"/>
      <c r="G24" s="1213"/>
      <c r="H24" s="965"/>
      <c r="I24" s="965"/>
      <c r="J24" s="21">
        <v>16</v>
      </c>
    </row>
    <row r="25" spans="1:19" ht="15.75" thickBot="1">
      <c r="B25" s="42"/>
      <c r="C25" s="909"/>
      <c r="D25" s="909"/>
      <c r="E25" s="1214" t="s">
        <v>1748</v>
      </c>
      <c r="F25" s="1216" t="s">
        <v>1737</v>
      </c>
      <c r="G25" s="1215"/>
      <c r="H25" s="1157">
        <f>IF(('Val-Départ'!G14=""),"",VLOOKUP('Val-Départ'!G14,'Val-Départ'!G14:AE25,24,FALSE))</f>
        <v>1115.52</v>
      </c>
      <c r="I25" s="1239"/>
      <c r="J25" s="21">
        <v>17</v>
      </c>
    </row>
    <row r="26" spans="1:19" ht="15.75" thickBot="1">
      <c r="B26" s="1246" t="str">
        <f>'Liv-Four-client'!E29</f>
        <v>C0002</v>
      </c>
      <c r="C26" s="909"/>
      <c r="D26" s="909"/>
      <c r="E26" s="1214" t="s">
        <v>1747</v>
      </c>
      <c r="F26" s="1246" t="str">
        <f>'Val-Départ'!C14</f>
        <v>Vienneau</v>
      </c>
      <c r="G26" s="1213"/>
      <c r="H26" s="4"/>
      <c r="I26" s="1157">
        <f>IF(('Val-Départ'!G14=""),"",VLOOKUP('Val-Départ'!G14,'Val-Départ'!G14:AE25,18,FALSE))</f>
        <v>1115.52</v>
      </c>
      <c r="J26" s="21">
        <v>18</v>
      </c>
    </row>
    <row r="27" spans="1:19" ht="15.75" thickBot="1">
      <c r="B27" s="42"/>
      <c r="C27" s="909"/>
      <c r="D27" s="909"/>
      <c r="E27" s="1235" t="s">
        <v>1749</v>
      </c>
      <c r="F27" s="706" t="s">
        <v>1746</v>
      </c>
      <c r="G27" s="1246" t="str">
        <f>'Val-Départ'!C14</f>
        <v>Vienneau</v>
      </c>
      <c r="H27" s="1234"/>
      <c r="I27" s="965"/>
      <c r="J27" s="21">
        <v>19</v>
      </c>
    </row>
    <row r="28" spans="1:19" ht="15.75" thickBot="1">
      <c r="A28" s="1059">
        <v>15</v>
      </c>
      <c r="C28" s="1232"/>
      <c r="D28" s="1236"/>
      <c r="E28" s="1231"/>
      <c r="F28" s="1230"/>
      <c r="G28" s="1229"/>
      <c r="H28" s="1228"/>
      <c r="I28" s="1228"/>
      <c r="J28" s="21">
        <v>20</v>
      </c>
    </row>
    <row r="29" spans="1:19" ht="15.75" thickBot="1">
      <c r="B29" s="1171"/>
      <c r="C29" s="1211">
        <v>550</v>
      </c>
      <c r="D29" s="932"/>
      <c r="E29" s="1214" t="s">
        <v>1748</v>
      </c>
      <c r="F29" s="1216" t="s">
        <v>1737</v>
      </c>
      <c r="G29" s="1227"/>
      <c r="H29" s="1157">
        <f>IF(('Val-Départ'!G15=""),"",VLOOKUP('Val-Départ'!G15,'Val-Départ'!G15:AE26,24,FALSE))</f>
        <v>0</v>
      </c>
      <c r="I29" s="106"/>
      <c r="J29" s="21">
        <v>21</v>
      </c>
    </row>
    <row r="30" spans="1:19" ht="15.75" thickBot="1">
      <c r="B30" s="1246" t="str">
        <f>'Liv-Four-client'!E45</f>
        <v>C0003</v>
      </c>
      <c r="C30" s="1184"/>
      <c r="D30" s="1184">
        <v>400</v>
      </c>
      <c r="E30" s="1214" t="s">
        <v>1496</v>
      </c>
      <c r="F30" s="1246" t="str">
        <f>'Val-Départ'!C15</f>
        <v>Jacques</v>
      </c>
      <c r="G30" s="932"/>
      <c r="H30" s="4"/>
      <c r="I30" s="1157">
        <f>IF(('Val-Départ'!G15=""),"",VLOOKUP('Val-Départ'!G15,'Val-Départ'!G15:AE26,18,FALSE))</f>
        <v>0</v>
      </c>
      <c r="J30" s="21">
        <v>22</v>
      </c>
      <c r="L30" s="21"/>
    </row>
    <row r="31" spans="1:19" ht="15.75" thickBot="1">
      <c r="B31" s="1225"/>
      <c r="C31" s="1224"/>
      <c r="D31" s="1238"/>
      <c r="E31" s="1223" t="s">
        <v>1484</v>
      </c>
      <c r="F31" s="1222" t="s">
        <v>1746</v>
      </c>
      <c r="G31" s="1246" t="str">
        <f>'Val-Départ'!C15</f>
        <v>Jacques</v>
      </c>
      <c r="H31" s="1221"/>
      <c r="I31" s="1220"/>
      <c r="J31" s="21">
        <v>23</v>
      </c>
      <c r="L31" s="631"/>
    </row>
    <row r="32" spans="1:19" ht="15.75" thickBot="1">
      <c r="A32" s="1059">
        <v>16</v>
      </c>
      <c r="B32" s="42"/>
      <c r="C32" s="909"/>
      <c r="D32" s="909"/>
      <c r="E32" s="1218"/>
      <c r="F32" s="826"/>
      <c r="G32" s="1213"/>
      <c r="H32" s="965"/>
      <c r="I32" s="965"/>
      <c r="K32" s="631"/>
      <c r="L32" s="631"/>
    </row>
    <row r="33" spans="1:13" ht="19.5" thickBot="1">
      <c r="B33" s="42"/>
      <c r="C33" s="909"/>
      <c r="D33" s="909"/>
      <c r="E33" s="1214" t="s">
        <v>1748</v>
      </c>
      <c r="F33" s="1216" t="s">
        <v>1737</v>
      </c>
      <c r="G33" s="1215"/>
      <c r="H33" s="1157">
        <f>IF(('Val-Départ'!G16=""),"",VLOOKUP('Val-Départ'!G16,'Val-Départ'!G16:AE27,24,FALSE))</f>
        <v>0</v>
      </c>
      <c r="I33" s="106"/>
      <c r="K33" s="1237"/>
      <c r="L33" s="1237"/>
    </row>
    <row r="34" spans="1:13" ht="15.75" thickBot="1">
      <c r="B34" s="1246">
        <f>'Liv-Four-client'!E60</f>
        <v>0</v>
      </c>
      <c r="C34" s="909"/>
      <c r="D34" s="909"/>
      <c r="E34" s="1214" t="s">
        <v>1747</v>
      </c>
      <c r="F34" s="1246">
        <f>'Val-Départ'!C16</f>
        <v>0</v>
      </c>
      <c r="G34" s="1213"/>
      <c r="H34" s="4"/>
      <c r="I34" s="1157">
        <f>IF(('Val-Départ'!G16=""),"",VLOOKUP('Val-Départ'!G16,'Val-Départ'!G16:AE27,18,FALSE))</f>
        <v>0</v>
      </c>
      <c r="K34" s="21"/>
      <c r="L34" s="21"/>
    </row>
    <row r="35" spans="1:13" ht="15.75" thickBot="1">
      <c r="B35" s="42"/>
      <c r="C35" s="909"/>
      <c r="D35" s="909"/>
      <c r="E35" s="1235" t="s">
        <v>1484</v>
      </c>
      <c r="F35" s="706" t="s">
        <v>1746</v>
      </c>
      <c r="G35" s="1246">
        <f>'Val-Départ'!C16</f>
        <v>0</v>
      </c>
      <c r="H35" s="1234"/>
      <c r="I35" s="965"/>
      <c r="K35" s="715"/>
      <c r="L35" s="21"/>
    </row>
    <row r="36" spans="1:13" ht="15.75" thickBot="1">
      <c r="A36" s="1059">
        <v>17</v>
      </c>
      <c r="C36" s="1232"/>
      <c r="D36" s="1236"/>
      <c r="E36" s="1231"/>
      <c r="F36" s="1230"/>
      <c r="G36" s="1229"/>
      <c r="H36" s="1228"/>
      <c r="I36" s="1228"/>
      <c r="K36" s="21"/>
      <c r="L36" s="21"/>
    </row>
    <row r="37" spans="1:13" ht="15.75" thickBot="1">
      <c r="B37" s="1171"/>
      <c r="C37" s="1211">
        <v>550</v>
      </c>
      <c r="D37" s="1184"/>
      <c r="E37" s="1214" t="s">
        <v>1748</v>
      </c>
      <c r="F37" s="1216" t="s">
        <v>1737</v>
      </c>
      <c r="G37" s="1227"/>
      <c r="H37" s="1157">
        <f>IF(('Val-Départ'!G17=""),"",VLOOKUP('Val-Départ'!G17,'Val-Départ'!G17:AE28,24,FALSE))</f>
        <v>0</v>
      </c>
      <c r="I37" s="106"/>
      <c r="K37" s="4"/>
      <c r="L37" s="4"/>
    </row>
    <row r="38" spans="1:13" ht="15.75" thickBot="1">
      <c r="B38" s="1246">
        <f>'Liv-Four-client'!E80</f>
        <v>0</v>
      </c>
      <c r="C38" s="1184"/>
      <c r="D38" s="1184">
        <v>400</v>
      </c>
      <c r="E38" s="1214" t="s">
        <v>1747</v>
      </c>
      <c r="F38" s="1246">
        <f>'Val-Départ'!C17</f>
        <v>0</v>
      </c>
      <c r="G38" s="932"/>
      <c r="H38" s="4"/>
      <c r="I38" s="1157">
        <f>IF(('Val-Départ'!G17=""),"",VLOOKUP('Val-Départ'!G17,'Val-Départ'!G17:AE28,18,FALSE))</f>
        <v>0</v>
      </c>
      <c r="K38" s="139"/>
      <c r="L38" s="139"/>
    </row>
    <row r="39" spans="1:13" ht="15.75" thickBot="1">
      <c r="B39" s="1225"/>
      <c r="C39" s="1224"/>
      <c r="D39" s="1224"/>
      <c r="E39" s="1223" t="s">
        <v>1484</v>
      </c>
      <c r="F39" s="1222" t="s">
        <v>1746</v>
      </c>
      <c r="G39" s="1246">
        <f>'Val-Départ'!C17</f>
        <v>0</v>
      </c>
      <c r="H39" s="1221"/>
      <c r="I39" s="1220"/>
      <c r="K39" s="4"/>
      <c r="L39" s="4"/>
    </row>
    <row r="40" spans="1:13" ht="15.75" thickBot="1">
      <c r="A40" s="1059">
        <v>18</v>
      </c>
      <c r="B40" s="42"/>
      <c r="C40" s="909"/>
      <c r="D40" s="909"/>
      <c r="E40" s="1218"/>
      <c r="F40" s="826"/>
      <c r="G40" s="1213"/>
      <c r="H40" s="965"/>
      <c r="I40" s="965"/>
      <c r="K40" s="4"/>
      <c r="L40" s="4"/>
    </row>
    <row r="41" spans="1:13" ht="15.75" thickBot="1">
      <c r="B41" s="42"/>
      <c r="C41" s="1211">
        <v>550</v>
      </c>
      <c r="D41" s="909"/>
      <c r="E41" s="1214" t="s">
        <v>1748</v>
      </c>
      <c r="F41" s="1216" t="s">
        <v>1737</v>
      </c>
      <c r="G41" s="1215"/>
      <c r="H41" s="1157">
        <f>IF(('Val-Départ'!G18=""),"",VLOOKUP('Val-Départ'!G18,'Val-Départ'!G18:AE29,24,FALSE))</f>
        <v>0</v>
      </c>
      <c r="I41" s="106"/>
      <c r="K41" s="4"/>
      <c r="L41" s="4"/>
    </row>
    <row r="42" spans="1:13" ht="15.75" thickBot="1">
      <c r="B42" s="1246">
        <f>'Liv-Four-client'!E101</f>
        <v>0</v>
      </c>
      <c r="C42" s="909"/>
      <c r="D42" s="1184">
        <v>400</v>
      </c>
      <c r="E42" s="1214" t="s">
        <v>1747</v>
      </c>
      <c r="F42" s="1246">
        <f>'Val-Départ'!C18</f>
        <v>0</v>
      </c>
      <c r="G42" s="1213"/>
      <c r="H42" s="4"/>
      <c r="I42" s="1157">
        <f>IF(('Val-Départ'!G18=""),"",VLOOKUP('Val-Départ'!G18,'Val-Départ'!G18:AE29,18,FALSE))</f>
        <v>0</v>
      </c>
      <c r="K42" s="4"/>
      <c r="L42" s="4"/>
    </row>
    <row r="43" spans="1:13" ht="15.75" thickBot="1">
      <c r="B43" s="42"/>
      <c r="C43" s="909"/>
      <c r="D43" s="909"/>
      <c r="E43" s="1235" t="s">
        <v>1484</v>
      </c>
      <c r="F43" s="706" t="s">
        <v>1746</v>
      </c>
      <c r="G43" s="1246">
        <f>'Val-Départ'!C18</f>
        <v>0</v>
      </c>
      <c r="H43" s="1234"/>
      <c r="I43" s="965"/>
      <c r="K43" s="139"/>
      <c r="L43" s="139"/>
    </row>
    <row r="44" spans="1:13" ht="15.75" thickBot="1">
      <c r="A44" s="1059">
        <v>19</v>
      </c>
      <c r="B44" s="1233"/>
      <c r="C44" s="1232"/>
      <c r="D44" s="1232" t="str">
        <f>'[2]Liv. comp.four-client.'!E51</f>
        <v>ccc</v>
      </c>
      <c r="E44" s="1231"/>
      <c r="F44" s="1230"/>
      <c r="G44" s="1229"/>
      <c r="H44" s="1228"/>
      <c r="I44" s="1228"/>
      <c r="K44" s="4"/>
      <c r="L44" s="4"/>
    </row>
    <row r="45" spans="1:13" ht="15.75" thickBot="1">
      <c r="B45" s="1171"/>
      <c r="C45" s="1211">
        <v>550</v>
      </c>
      <c r="D45" s="1184"/>
      <c r="E45" s="1214" t="s">
        <v>1748</v>
      </c>
      <c r="F45" s="1216" t="s">
        <v>1737</v>
      </c>
      <c r="G45" s="1227"/>
      <c r="H45" s="1157">
        <f>IF(('Val-Départ'!G19=""),"",VLOOKUP('Val-Départ'!G19,'Val-Départ'!G19:AE30,24,FALSE))</f>
        <v>0</v>
      </c>
      <c r="I45" s="106"/>
    </row>
    <row r="46" spans="1:13" ht="15.75" thickBot="1">
      <c r="B46" s="1246">
        <f>'Liv-Four-client'!E119</f>
        <v>0</v>
      </c>
      <c r="C46" s="1184"/>
      <c r="D46" s="1184">
        <v>400</v>
      </c>
      <c r="E46" s="1214" t="s">
        <v>1747</v>
      </c>
      <c r="F46" s="1246">
        <f>'Val-Départ'!C19</f>
        <v>0</v>
      </c>
      <c r="G46" s="1213"/>
      <c r="H46" s="4"/>
      <c r="I46" s="1157">
        <f>IF(('Val-Départ'!G19=""),"",VLOOKUP('Val-Départ'!G19,'Val-Départ'!G19:AE30,18,FALSE))</f>
        <v>0</v>
      </c>
    </row>
    <row r="47" spans="1:13" ht="15.75" thickBot="1">
      <c r="B47" s="1225"/>
      <c r="C47" s="1224"/>
      <c r="D47" s="1224"/>
      <c r="E47" s="1223" t="s">
        <v>1484</v>
      </c>
      <c r="F47" s="1222" t="s">
        <v>1746</v>
      </c>
      <c r="G47" s="1246">
        <f>'Val-Départ'!C19</f>
        <v>0</v>
      </c>
      <c r="H47" s="1221"/>
      <c r="I47" s="1220"/>
      <c r="M47" s="1219"/>
    </row>
    <row r="48" spans="1:13" ht="15.75" thickBot="1">
      <c r="A48" s="1059">
        <v>20</v>
      </c>
      <c r="B48" s="1179"/>
      <c r="C48" s="1178"/>
      <c r="D48" s="1178">
        <f>'[2]Liv. comp.four-client.'!E59</f>
        <v>0</v>
      </c>
      <c r="E48" s="1218"/>
      <c r="F48" s="1217"/>
      <c r="G48" s="1213"/>
      <c r="H48" s="1173"/>
      <c r="I48" s="1173"/>
    </row>
    <row r="49" spans="1:9" ht="15.75" thickBot="1">
      <c r="B49" s="1171"/>
      <c r="C49" s="1211">
        <v>550</v>
      </c>
      <c r="D49" s="1184"/>
      <c r="E49" s="1214" t="s">
        <v>1748</v>
      </c>
      <c r="F49" s="1216" t="s">
        <v>1737</v>
      </c>
      <c r="G49" s="1215"/>
      <c r="H49" s="1157">
        <f>IF(('Val-Départ'!G20=""),"",VLOOKUP('Val-Départ'!G20,'Val-Départ'!G20:AE31,24,FALSE))</f>
        <v>0</v>
      </c>
      <c r="I49" s="106"/>
    </row>
    <row r="50" spans="1:9" ht="15.75" thickBot="1">
      <c r="B50" s="1246">
        <f>'Liv-Four-client'!E136</f>
        <v>0</v>
      </c>
      <c r="C50" s="1184"/>
      <c r="D50" s="1184">
        <v>400</v>
      </c>
      <c r="E50" s="1214" t="s">
        <v>1747</v>
      </c>
      <c r="F50" s="1246">
        <f>'Val-Départ'!C20</f>
        <v>0</v>
      </c>
      <c r="G50" s="1213"/>
      <c r="H50" s="4"/>
      <c r="I50" s="1157">
        <f>IF(('Val-Départ'!G20=""),"",VLOOKUP('Val-Départ'!G20,'Val-Départ'!G20:AE31,18,FALSE))</f>
        <v>0</v>
      </c>
    </row>
    <row r="51" spans="1:9" ht="15.75" thickBot="1">
      <c r="B51" s="1212"/>
      <c r="C51" s="1211"/>
      <c r="D51" s="1211"/>
      <c r="E51" s="1210" t="s">
        <v>1484</v>
      </c>
      <c r="F51" s="1209" t="s">
        <v>1746</v>
      </c>
      <c r="G51" s="1246">
        <f>'Val-Départ'!C20</f>
        <v>0</v>
      </c>
      <c r="H51" s="1208"/>
      <c r="I51" s="834"/>
    </row>
    <row r="52" spans="1:9">
      <c r="A52" s="1059">
        <v>21</v>
      </c>
      <c r="B52" s="1100"/>
      <c r="C52" s="1099"/>
      <c r="D52" s="1099"/>
      <c r="E52" s="1100"/>
      <c r="F52" s="1207"/>
      <c r="G52" s="1060"/>
      <c r="H52" s="1206"/>
      <c r="I52" s="1206"/>
    </row>
    <row r="53" spans="1:9" ht="15.75" thickBot="1">
      <c r="B53" s="1179"/>
      <c r="C53" s="1178"/>
      <c r="D53" s="1178">
        <f>'[2]Liv. comp.four-client.'!E64</f>
        <v>0</v>
      </c>
      <c r="E53" s="1218"/>
      <c r="F53" s="1217"/>
      <c r="G53" s="1213"/>
      <c r="H53" s="1173"/>
      <c r="I53" s="1173"/>
    </row>
    <row r="54" spans="1:9" ht="15.75" thickBot="1">
      <c r="B54" s="1246">
        <f>'Liv-Four-client'!E154</f>
        <v>0</v>
      </c>
      <c r="C54" s="1211">
        <v>550</v>
      </c>
      <c r="D54" s="1184"/>
      <c r="E54" s="1214" t="s">
        <v>1748</v>
      </c>
      <c r="F54" s="1216" t="s">
        <v>1737</v>
      </c>
      <c r="G54" s="1215"/>
      <c r="H54" s="1157">
        <f>IF(('Val-Départ'!G21=""),"",VLOOKUP('Val-Départ'!G21,'Val-Départ'!G21:AE32,24,FALSE))</f>
        <v>0</v>
      </c>
      <c r="I54" s="106"/>
    </row>
    <row r="55" spans="1:9" ht="15.75" thickBot="1">
      <c r="C55" s="1184"/>
      <c r="D55" s="1184">
        <v>400</v>
      </c>
      <c r="E55" s="1214" t="s">
        <v>1747</v>
      </c>
      <c r="F55" s="1246">
        <f>'Val-Départ'!C21</f>
        <v>0</v>
      </c>
      <c r="G55" s="1213"/>
      <c r="H55" s="4"/>
      <c r="I55" s="1157">
        <f>IF(('Val-Départ'!G21=""),"",VLOOKUP('Val-Départ'!G21,'Val-Départ'!G21:AE32,18,FALSE))</f>
        <v>0</v>
      </c>
    </row>
    <row r="56" spans="1:9" ht="15.75" thickBot="1">
      <c r="B56" s="1212"/>
      <c r="C56" s="1211"/>
      <c r="D56" s="1211"/>
      <c r="E56" s="1210" t="s">
        <v>1484</v>
      </c>
      <c r="F56" s="1209" t="s">
        <v>1746</v>
      </c>
      <c r="G56" s="1246">
        <f>'Val-Départ'!C21</f>
        <v>0</v>
      </c>
      <c r="H56" s="1208"/>
      <c r="I56" s="834"/>
    </row>
    <row r="57" spans="1:9">
      <c r="A57" s="1059">
        <v>22</v>
      </c>
      <c r="B57" s="1100"/>
      <c r="C57" s="1099"/>
      <c r="D57" s="1099"/>
      <c r="E57" s="1100"/>
      <c r="F57" s="1207"/>
      <c r="G57" s="1060"/>
      <c r="H57" s="1206"/>
      <c r="I57" s="1206"/>
    </row>
    <row r="58" spans="1:9" ht="15.75" thickBot="1">
      <c r="B58" s="1179"/>
      <c r="C58" s="1178"/>
      <c r="D58" s="1178">
        <f>'[2]Liv. comp.four-client.'!E69</f>
        <v>0</v>
      </c>
      <c r="E58" s="1218"/>
      <c r="F58" s="1217"/>
      <c r="G58" s="1213"/>
      <c r="H58" s="1173"/>
      <c r="I58" s="1173"/>
    </row>
    <row r="59" spans="1:9" ht="15.75" thickBot="1">
      <c r="B59" s="1246">
        <f>'Liv-Four-client'!E1171</f>
        <v>0</v>
      </c>
      <c r="C59" s="1211">
        <v>550</v>
      </c>
      <c r="D59" s="1184"/>
      <c r="E59" s="1214" t="s">
        <v>1748</v>
      </c>
      <c r="F59" s="1216" t="s">
        <v>1737</v>
      </c>
      <c r="G59" s="1215">
        <f>IF('[2]Val-Départ'!O29="","",'[2]Val-Départ'!O29)</f>
        <v>0</v>
      </c>
      <c r="H59" s="1157">
        <f>IF(('Val-Départ'!G22=""),"",VLOOKUP('Val-Départ'!G22,'Val-Départ'!G22:AE33,24,FALSE))</f>
        <v>0</v>
      </c>
      <c r="I59" s="106"/>
    </row>
    <row r="60" spans="1:9" ht="15.75" thickBot="1">
      <c r="C60" s="1184"/>
      <c r="D60" s="1184">
        <v>400</v>
      </c>
      <c r="E60" s="1214" t="s">
        <v>1747</v>
      </c>
      <c r="F60" s="1246">
        <f>'Val-Départ'!C22</f>
        <v>0</v>
      </c>
      <c r="G60" s="1213"/>
      <c r="H60" s="4"/>
      <c r="I60" s="1157">
        <f>IF(('Val-Départ'!G22=""),"",VLOOKUP('Val-Départ'!G22,'Val-Départ'!G22:AE33,18,FALSE))</f>
        <v>0</v>
      </c>
    </row>
    <row r="61" spans="1:9" ht="15.75" thickBot="1">
      <c r="B61" s="1212"/>
      <c r="C61" s="1211"/>
      <c r="D61" s="1211"/>
      <c r="E61" s="1210" t="s">
        <v>1484</v>
      </c>
      <c r="F61" s="1209" t="s">
        <v>1746</v>
      </c>
      <c r="G61" s="1246">
        <f>'Val-Départ'!C22</f>
        <v>0</v>
      </c>
      <c r="H61" s="1208"/>
      <c r="I61" s="834"/>
    </row>
    <row r="62" spans="1:9">
      <c r="A62" s="1059">
        <v>23</v>
      </c>
      <c r="B62" s="1100"/>
      <c r="C62" s="1099"/>
      <c r="D62" s="1099"/>
      <c r="E62" s="1100"/>
      <c r="F62" s="1207"/>
      <c r="G62" s="1060"/>
      <c r="H62" s="1206"/>
      <c r="I62" s="1206"/>
    </row>
    <row r="63" spans="1:9" ht="15.75" thickBot="1">
      <c r="B63" s="1179"/>
      <c r="C63" s="1178"/>
      <c r="D63" s="1178">
        <f>'[2]Liv. comp.four-client.'!E74</f>
        <v>0</v>
      </c>
      <c r="E63" s="1218"/>
      <c r="F63" s="1217"/>
      <c r="G63" s="1213"/>
      <c r="H63" s="1173"/>
      <c r="I63" s="1173"/>
    </row>
    <row r="64" spans="1:9" ht="15.75" thickBot="1">
      <c r="B64" s="1171"/>
      <c r="C64" s="1211">
        <v>550</v>
      </c>
      <c r="D64" s="1184"/>
      <c r="E64" s="1214" t="s">
        <v>1748</v>
      </c>
      <c r="F64" s="1216" t="s">
        <v>1737</v>
      </c>
      <c r="G64" s="1215" t="str">
        <f>IF('[2]Val-Départ'!O34="","",'[2]Val-Départ'!O34)</f>
        <v/>
      </c>
      <c r="H64" s="1157">
        <f>IF(('Val-Départ'!G23=""),"",VLOOKUP('Val-Départ'!G23,'Val-Départ'!G23:AE34,24,FALSE))</f>
        <v>0</v>
      </c>
      <c r="I64" s="106"/>
    </row>
    <row r="65" spans="2:9" ht="15.75" thickBot="1">
      <c r="B65" s="1246">
        <f>'Liv-Four-client'!E189</f>
        <v>0</v>
      </c>
      <c r="C65" s="1184"/>
      <c r="D65" s="1184">
        <v>400</v>
      </c>
      <c r="E65" s="1214" t="s">
        <v>1747</v>
      </c>
      <c r="F65" s="1246">
        <f>'Val-Départ'!C23</f>
        <v>0</v>
      </c>
      <c r="G65" s="1213"/>
      <c r="H65" s="4"/>
      <c r="I65" s="1157">
        <f>IF(('Val-Départ'!G23=""),"",VLOOKUP('Val-Départ'!G23,'Val-Départ'!G23:AE34,18,FALSE))</f>
        <v>0</v>
      </c>
    </row>
    <row r="66" spans="2:9" ht="15.75" thickBot="1">
      <c r="B66" s="1212"/>
      <c r="C66" s="1211"/>
      <c r="D66" s="1211"/>
      <c r="E66" s="1210" t="s">
        <v>1484</v>
      </c>
      <c r="F66" s="1209" t="s">
        <v>1746</v>
      </c>
      <c r="G66" s="1246">
        <f>'Val-Départ'!C23</f>
        <v>0</v>
      </c>
      <c r="H66" s="1208"/>
      <c r="I66" s="834"/>
    </row>
    <row r="67" spans="2:9">
      <c r="B67" s="1100"/>
      <c r="C67" s="1099"/>
      <c r="D67" s="1099"/>
      <c r="E67" s="1100"/>
      <c r="F67" s="1207"/>
      <c r="G67" s="1060"/>
      <c r="H67" s="1206">
        <f>SUM(H21:H66)</f>
        <v>1115.52</v>
      </c>
      <c r="I67" s="1206">
        <f>SUM(I22:I66)</f>
        <v>1115.52</v>
      </c>
    </row>
    <row r="68" spans="2:9">
      <c r="B68" s="4"/>
      <c r="C68" s="932"/>
      <c r="D68" s="932"/>
      <c r="E68" s="4"/>
      <c r="F68" s="1794" t="s">
        <v>1826</v>
      </c>
      <c r="G68" s="1794"/>
      <c r="H68" s="1794"/>
      <c r="I68" s="168"/>
    </row>
    <row r="69" spans="2:9">
      <c r="B69" s="4"/>
      <c r="C69" s="932"/>
      <c r="D69" s="932"/>
      <c r="E69" s="4"/>
      <c r="F69" s="342"/>
      <c r="G69" s="330"/>
      <c r="H69" s="168"/>
      <c r="I69" s="168"/>
    </row>
    <row r="70" spans="2:9" ht="18.75">
      <c r="B70" s="4"/>
      <c r="C70" s="932"/>
      <c r="D70" s="1762" t="s">
        <v>1483</v>
      </c>
      <c r="E70" s="1762"/>
      <c r="F70" s="1762"/>
      <c r="G70" s="1762"/>
      <c r="H70" s="1816" t="s">
        <v>1745</v>
      </c>
      <c r="I70" s="1816"/>
    </row>
    <row r="71" spans="2:9">
      <c r="B71" s="4"/>
      <c r="C71" s="932"/>
      <c r="D71" s="932"/>
      <c r="E71" s="4"/>
      <c r="F71" s="342"/>
      <c r="G71" s="330"/>
      <c r="H71" s="168"/>
      <c r="I71" s="168"/>
    </row>
    <row r="72" spans="2:9">
      <c r="B72" s="4"/>
      <c r="C72" s="932"/>
      <c r="D72" s="932"/>
      <c r="E72" s="4"/>
      <c r="F72" s="342"/>
      <c r="G72" s="330"/>
      <c r="H72" s="168"/>
      <c r="I72" s="168"/>
    </row>
    <row r="73" spans="2:9">
      <c r="B73" s="4"/>
      <c r="C73" s="932"/>
      <c r="D73" s="932"/>
      <c r="E73" s="4"/>
      <c r="F73" s="342"/>
      <c r="G73" s="330"/>
      <c r="H73" s="168"/>
      <c r="I73" s="168"/>
    </row>
    <row r="74" spans="2:9">
      <c r="B74" s="4"/>
      <c r="C74" s="932"/>
      <c r="D74" s="932"/>
      <c r="E74" s="4"/>
      <c r="F74" s="342"/>
      <c r="G74" s="330"/>
      <c r="H74" s="168"/>
      <c r="I74" s="168"/>
    </row>
    <row r="75" spans="2:9">
      <c r="B75" s="4"/>
      <c r="C75" s="932"/>
      <c r="D75" s="932"/>
      <c r="E75" s="4"/>
      <c r="F75" s="342"/>
      <c r="G75" s="330"/>
      <c r="H75" s="168"/>
      <c r="I75" s="168"/>
    </row>
    <row r="76" spans="2:9">
      <c r="B76" s="4"/>
      <c r="C76" s="932"/>
      <c r="D76" s="932"/>
      <c r="E76" s="4"/>
      <c r="F76" s="342"/>
      <c r="G76" s="330"/>
      <c r="H76" s="168"/>
      <c r="I76" s="168"/>
    </row>
    <row r="77" spans="2:9">
      <c r="B77" s="4"/>
      <c r="C77" s="932"/>
      <c r="D77" s="932"/>
      <c r="E77" s="4"/>
      <c r="F77" s="342"/>
      <c r="G77" s="330"/>
      <c r="H77" s="168"/>
      <c r="I77" s="168"/>
    </row>
    <row r="79" spans="2:9">
      <c r="E79" s="1798"/>
      <c r="F79" s="1798"/>
      <c r="G79" s="1798"/>
      <c r="H79" s="1117"/>
    </row>
    <row r="80" spans="2:9">
      <c r="E80" s="573"/>
      <c r="F80" s="573"/>
      <c r="G80" s="573"/>
      <c r="H80" s="1117"/>
    </row>
    <row r="81" spans="1:21">
      <c r="J81" s="4"/>
      <c r="K81" s="4"/>
    </row>
    <row r="82" spans="1:21" ht="15.75">
      <c r="B82" s="1787" t="s">
        <v>1744</v>
      </c>
      <c r="C82" s="1787"/>
      <c r="D82" s="1787"/>
      <c r="E82" s="1787"/>
      <c r="F82" s="1787"/>
      <c r="G82" s="1787"/>
      <c r="H82" s="1205" t="s">
        <v>1743</v>
      </c>
      <c r="I82" s="1205" t="s">
        <v>1742</v>
      </c>
      <c r="J82" s="4"/>
      <c r="K82" s="4"/>
      <c r="M82" s="231"/>
      <c r="N82" s="21"/>
      <c r="O82" s="661"/>
      <c r="P82" s="661"/>
      <c r="Q82" s="706"/>
      <c r="R82" s="706"/>
      <c r="S82" s="317"/>
      <c r="T82" s="715"/>
      <c r="U82" s="715"/>
    </row>
    <row r="83" spans="1:21" ht="45">
      <c r="B83" s="1112" t="s">
        <v>1494</v>
      </c>
      <c r="C83" s="1112" t="s">
        <v>1493</v>
      </c>
      <c r="D83" s="1112" t="s">
        <v>1492</v>
      </c>
      <c r="E83" s="1801" t="s">
        <v>1741</v>
      </c>
      <c r="F83" s="1802"/>
      <c r="G83" s="1803"/>
      <c r="H83" s="1112" t="s">
        <v>1491</v>
      </c>
      <c r="I83" s="1112" t="s">
        <v>1490</v>
      </c>
      <c r="J83" s="4"/>
      <c r="K83" s="4"/>
    </row>
    <row r="84" spans="1:21" ht="16.5" thickBot="1">
      <c r="B84" s="904"/>
      <c r="C84" s="904"/>
      <c r="D84" s="904"/>
      <c r="E84" s="1804" t="s">
        <v>270</v>
      </c>
      <c r="F84" s="1804"/>
      <c r="G84" s="1804"/>
      <c r="H84" s="1483" t="s">
        <v>12</v>
      </c>
      <c r="I84" s="1483" t="s">
        <v>12</v>
      </c>
      <c r="J84" s="4"/>
      <c r="K84" s="4"/>
    </row>
    <row r="85" spans="1:21" ht="16.5" thickTop="1" thickBot="1">
      <c r="A85" s="1059">
        <v>35</v>
      </c>
      <c r="B85" s="1201" t="str">
        <f>'[2]Liv. comp.four-client.'!M12</f>
        <v>F0074</v>
      </c>
      <c r="C85" s="1201"/>
      <c r="D85" s="1147"/>
      <c r="E85" s="1204"/>
      <c r="F85" s="1203"/>
      <c r="G85" s="1202"/>
      <c r="H85" s="1201"/>
      <c r="I85" s="1201"/>
      <c r="J85" s="4"/>
      <c r="K85" s="4"/>
    </row>
    <row r="86" spans="1:21" ht="15.75" thickBot="1">
      <c r="B86" s="870"/>
      <c r="C86" s="869"/>
      <c r="D86" s="869">
        <v>550</v>
      </c>
      <c r="E86" s="1199" t="s">
        <v>1739</v>
      </c>
      <c r="F86" s="1101" t="s">
        <v>1737</v>
      </c>
      <c r="G86" s="1200"/>
      <c r="H86" s="870"/>
      <c r="I86" s="1278">
        <f>IF(('Val-Départ'!G35=""),"",VLOOKUP('Val-Départ'!G35,'Val-Départ'!G35:AM35,31,FALSE))</f>
        <v>899.85</v>
      </c>
      <c r="J86" s="4"/>
      <c r="K86" s="4"/>
    </row>
    <row r="87" spans="1:21" ht="15.75" thickBot="1">
      <c r="B87" s="870"/>
      <c r="C87" s="869">
        <v>440</v>
      </c>
      <c r="D87" s="869"/>
      <c r="E87" s="1199" t="s">
        <v>1485</v>
      </c>
      <c r="F87" s="1157" t="str">
        <f>IF(('Val-Départ'!B35=""),"",VLOOKUP('Val-Départ'!B35,'Val-Départ'!B35:D35,2,FALSE))</f>
        <v>Feromat</v>
      </c>
      <c r="G87" s="1077"/>
      <c r="H87" s="1157">
        <f>IF(('Val-Départ'!G35=""),"",VLOOKUP('Val-Départ'!G35,'Val-Départ'!G35:AM35,24,FALSE))</f>
        <v>899.85</v>
      </c>
      <c r="I87" s="870"/>
      <c r="J87" s="4"/>
      <c r="K87" s="4"/>
    </row>
    <row r="88" spans="1:21" ht="15.75" thickBot="1">
      <c r="B88" s="1156"/>
      <c r="C88" s="1155"/>
      <c r="D88" s="1155"/>
      <c r="E88" s="1198" t="s">
        <v>1735</v>
      </c>
      <c r="F88" s="1197" t="s">
        <v>1734</v>
      </c>
      <c r="G88" s="1189"/>
      <c r="H88" s="1149"/>
      <c r="I88" s="1149"/>
      <c r="J88" s="4"/>
      <c r="K88" s="4"/>
    </row>
    <row r="89" spans="1:21" ht="16.5" thickTop="1" thickBot="1">
      <c r="A89" s="1059">
        <v>36</v>
      </c>
      <c r="B89" s="890"/>
      <c r="C89" s="889"/>
      <c r="D89" s="889"/>
      <c r="E89" s="1140"/>
      <c r="F89" s="1139"/>
      <c r="G89" s="1196"/>
      <c r="H89" s="908"/>
      <c r="I89" s="908"/>
      <c r="J89" s="4"/>
      <c r="K89" s="4"/>
    </row>
    <row r="90" spans="1:21" ht="15.75" thickBot="1">
      <c r="B90" s="870"/>
      <c r="C90" s="869"/>
      <c r="D90" s="869"/>
      <c r="E90" s="1194" t="s">
        <v>1739</v>
      </c>
      <c r="F90" s="1193" t="s">
        <v>1737</v>
      </c>
      <c r="G90" s="1195"/>
      <c r="H90" s="1133"/>
      <c r="I90" s="1278">
        <f>IF(('Val-Départ'!G36=""),"",VLOOKUP('Val-Départ'!G36,'Val-Départ'!G36:AM36,31,FALSE))</f>
        <v>1688.76</v>
      </c>
      <c r="J90" s="4"/>
      <c r="K90" s="4"/>
    </row>
    <row r="91" spans="1:21" ht="15.75" thickBot="1">
      <c r="B91" s="870"/>
      <c r="C91" s="869"/>
      <c r="D91" s="869"/>
      <c r="E91" s="1194" t="s">
        <v>1485</v>
      </c>
      <c r="F91" s="1157" t="str">
        <f>IF(('Val-Départ'!B36=""),"",VLOOKUP('Val-Départ'!B36,'Val-Départ'!B36:D36,2,FALSE))</f>
        <v>Durand</v>
      </c>
      <c r="G91" s="1192"/>
      <c r="H91" s="1226">
        <f>IF(('Val-Départ'!G36=""),"",VLOOKUP('Val-Départ'!G36,'Val-Départ'!G36:AM36,24,FALSE))</f>
        <v>1688.76</v>
      </c>
      <c r="I91" s="1131"/>
      <c r="J91" s="4"/>
      <c r="K91" s="4"/>
    </row>
    <row r="92" spans="1:21" ht="15.75" thickBot="1">
      <c r="B92" s="907"/>
      <c r="C92" s="884"/>
      <c r="D92" s="884"/>
      <c r="E92" s="1191" t="s">
        <v>1735</v>
      </c>
      <c r="F92" s="1190" t="s">
        <v>1734</v>
      </c>
      <c r="G92" s="1189"/>
      <c r="H92" s="882"/>
      <c r="I92" s="882"/>
      <c r="J92" s="4"/>
      <c r="K92" s="4"/>
      <c r="L92" s="4"/>
      <c r="M92" s="4"/>
    </row>
    <row r="93" spans="1:21" ht="16.5" thickTop="1" thickBot="1">
      <c r="A93" s="1059">
        <v>37</v>
      </c>
      <c r="B93" s="1188" t="str">
        <f>'[2]Liv. comp.four-client.'!M25</f>
        <v>F0030</v>
      </c>
      <c r="C93" s="1188"/>
      <c r="D93" s="1187"/>
      <c r="E93" s="1140"/>
      <c r="F93" s="1139"/>
      <c r="G93" s="1138"/>
      <c r="H93" s="1186"/>
      <c r="I93" s="1186"/>
      <c r="J93" s="737">
        <v>35</v>
      </c>
      <c r="L93" s="4"/>
      <c r="M93" s="4"/>
    </row>
    <row r="94" spans="1:21" ht="15.75" thickBot="1">
      <c r="B94" s="1171"/>
      <c r="C94" s="938"/>
      <c r="D94" s="1184">
        <v>550</v>
      </c>
      <c r="E94" s="1079" t="s">
        <v>1738</v>
      </c>
      <c r="F94" s="1078" t="s">
        <v>1737</v>
      </c>
      <c r="G94" s="1185"/>
      <c r="H94" s="4"/>
      <c r="I94" s="1278">
        <f>IF(('Val-Départ'!G37=""),"",VLOOKUP('Val-Départ'!G37,'Val-Départ'!G37:AM37,31,FALSE))</f>
        <v>0</v>
      </c>
      <c r="J94" s="737">
        <v>36</v>
      </c>
      <c r="L94" s="139"/>
      <c r="M94" s="139"/>
    </row>
    <row r="95" spans="1:21" ht="15.75" thickBot="1">
      <c r="B95" s="1171"/>
      <c r="C95" s="869">
        <v>440</v>
      </c>
      <c r="D95" s="1184"/>
      <c r="E95" s="1079" t="s">
        <v>1736</v>
      </c>
      <c r="F95" s="1157" t="str">
        <f>IF(('Val-Départ'!B37=""),"",VLOOKUP('Val-Départ'!B37,'Val-Départ'!B37:D37,2,FALSE))</f>
        <v>Pierre</v>
      </c>
      <c r="G95" s="1068"/>
      <c r="H95" s="1226">
        <f>IF(('Val-Départ'!G37=""),"",VLOOKUP('Val-Départ'!G37,'Val-Départ'!G37:AM37,24,FALSE))</f>
        <v>0</v>
      </c>
      <c r="I95" s="106"/>
      <c r="J95" s="737">
        <v>37</v>
      </c>
      <c r="L95" s="139"/>
      <c r="M95" s="139"/>
    </row>
    <row r="96" spans="1:21" ht="19.5" thickBot="1">
      <c r="B96" s="1168"/>
      <c r="C96" s="1167"/>
      <c r="D96" s="1167"/>
      <c r="E96" s="1183" t="s">
        <v>1735</v>
      </c>
      <c r="F96" s="1182" t="s">
        <v>1740</v>
      </c>
      <c r="G96" s="1181"/>
      <c r="H96" s="1163"/>
      <c r="I96" s="1163"/>
      <c r="J96" s="21">
        <v>38</v>
      </c>
      <c r="L96" s="1180"/>
      <c r="M96" s="1180"/>
      <c r="N96" s="75"/>
    </row>
    <row r="97" spans="1:14" ht="16.5" thickTop="1" thickBot="1">
      <c r="A97" s="1059">
        <v>38</v>
      </c>
      <c r="B97" s="1148"/>
      <c r="C97" s="1147"/>
      <c r="D97" s="1146"/>
      <c r="E97" s="1162"/>
      <c r="F97" s="1161"/>
      <c r="G97" s="1160"/>
      <c r="H97" s="1145"/>
      <c r="I97" s="1144"/>
      <c r="J97" s="21">
        <v>39</v>
      </c>
      <c r="L97" s="4"/>
      <c r="M97" s="4"/>
    </row>
    <row r="98" spans="1:14" ht="15.75" thickBot="1">
      <c r="B98" s="870"/>
      <c r="C98" s="869"/>
      <c r="D98" s="937"/>
      <c r="E98" s="897" t="s">
        <v>1738</v>
      </c>
      <c r="F98" s="21" t="s">
        <v>1737</v>
      </c>
      <c r="G98" s="1159"/>
      <c r="H98" s="1133"/>
      <c r="I98" s="1278">
        <f>IF(('Val-Départ'!G38=""),"",VLOOKUP('Val-Départ'!G38,'Val-Départ'!G38:AM38,31,FALSE))</f>
        <v>0</v>
      </c>
      <c r="J98" s="21">
        <v>40</v>
      </c>
      <c r="L98" s="4"/>
      <c r="M98" s="4"/>
    </row>
    <row r="99" spans="1:14" ht="15.75" thickBot="1">
      <c r="B99" s="870"/>
      <c r="C99" s="869"/>
      <c r="D99" s="937"/>
      <c r="E99" s="897" t="s">
        <v>1736</v>
      </c>
      <c r="F99" s="1157" t="str">
        <f>IF(('Val-Départ'!B38=""),"",VLOOKUP('Val-Départ'!B38,'Val-Départ'!B38:D38,2,FALSE))</f>
        <v/>
      </c>
      <c r="G99" s="1158"/>
      <c r="H99" s="1226">
        <f>IF(('Val-Départ'!G38=""),"",VLOOKUP('Val-Départ'!G38,'Val-Départ'!G38:AM38,24,FALSE))</f>
        <v>0</v>
      </c>
      <c r="I99" s="1131"/>
      <c r="J99" s="21">
        <v>41</v>
      </c>
      <c r="L99" s="139"/>
      <c r="M99" s="139"/>
    </row>
    <row r="100" spans="1:14" ht="15.75" thickBot="1">
      <c r="B100" s="1156"/>
      <c r="C100" s="1155"/>
      <c r="D100" s="1154"/>
      <c r="E100" s="1153" t="s">
        <v>1735</v>
      </c>
      <c r="F100" s="1152" t="s">
        <v>1734</v>
      </c>
      <c r="G100" s="1151"/>
      <c r="H100" s="1150"/>
      <c r="I100" s="1149"/>
      <c r="J100" s="21">
        <v>42</v>
      </c>
      <c r="L100" s="75"/>
      <c r="M100" s="75"/>
      <c r="N100" s="75"/>
    </row>
    <row r="101" spans="1:14" ht="16.5" thickTop="1" thickBot="1">
      <c r="A101" s="1059">
        <v>39</v>
      </c>
      <c r="B101" s="1179"/>
      <c r="C101" s="1178"/>
      <c r="D101" s="1177"/>
      <c r="E101" s="1176"/>
      <c r="F101" s="1175"/>
      <c r="G101" s="1158"/>
      <c r="H101" s="1174"/>
      <c r="I101" s="1173"/>
      <c r="J101" s="21"/>
    </row>
    <row r="102" spans="1:14" ht="15.75" thickBot="1">
      <c r="B102" s="1171"/>
      <c r="C102" s="932"/>
      <c r="D102" s="1172">
        <v>550</v>
      </c>
      <c r="E102" s="897" t="s">
        <v>1738</v>
      </c>
      <c r="F102" s="21" t="s">
        <v>1737</v>
      </c>
      <c r="G102" s="1159"/>
      <c r="H102" s="4"/>
      <c r="I102" s="1278">
        <f>IF(('Val-Départ'!G39=""),"",VLOOKUP('Val-Départ'!G39,'Val-Départ'!G39:AM39,31,FALSE))</f>
        <v>0</v>
      </c>
    </row>
    <row r="103" spans="1:14" ht="15.75" thickBot="1">
      <c r="B103" s="1171"/>
      <c r="C103" s="938">
        <v>440</v>
      </c>
      <c r="D103" s="1170"/>
      <c r="E103" s="897" t="s">
        <v>1485</v>
      </c>
      <c r="F103" s="1157" t="str">
        <f>IF(('Val-Départ'!B39=""),"",VLOOKUP('Val-Départ'!B39,'Val-Départ'!B39:D39,2,FALSE))</f>
        <v/>
      </c>
      <c r="G103" s="1169"/>
      <c r="H103" s="1226">
        <f>IF(('Val-Départ'!G39=""),"",VLOOKUP('Val-Départ'!G39,'Val-Départ'!G39:AM39,24,FALSE))</f>
        <v>0</v>
      </c>
      <c r="I103" s="106"/>
    </row>
    <row r="104" spans="1:14" ht="15.75" thickBot="1">
      <c r="B104" s="1168"/>
      <c r="C104" s="1167"/>
      <c r="D104" s="932"/>
      <c r="E104" s="1166" t="s">
        <v>1484</v>
      </c>
      <c r="F104" s="1165" t="s">
        <v>1734</v>
      </c>
      <c r="G104" s="895"/>
      <c r="H104" s="1164"/>
      <c r="I104" s="1163"/>
    </row>
    <row r="105" spans="1:14" ht="16.5" thickTop="1" thickBot="1">
      <c r="A105" s="1059">
        <v>40</v>
      </c>
      <c r="B105" s="1148"/>
      <c r="C105" s="1147"/>
      <c r="D105" s="1146"/>
      <c r="E105" s="1162"/>
      <c r="F105" s="1161"/>
      <c r="G105" s="1160"/>
      <c r="H105" s="1145"/>
      <c r="I105" s="1144"/>
    </row>
    <row r="106" spans="1:14" ht="15.75" thickBot="1">
      <c r="B106" s="870"/>
      <c r="C106" s="869"/>
      <c r="D106" s="937"/>
      <c r="E106" s="897" t="s">
        <v>1739</v>
      </c>
      <c r="F106" s="21" t="s">
        <v>1737</v>
      </c>
      <c r="G106" s="1159"/>
      <c r="H106" s="1133"/>
      <c r="I106" s="1278">
        <f>IF(('Val-Départ'!G40=""),"",VLOOKUP('Val-Départ'!G40,'Val-Départ'!G40:AM40,31,FALSE))</f>
        <v>0</v>
      </c>
    </row>
    <row r="107" spans="1:14" ht="15.75" thickBot="1">
      <c r="B107" s="870"/>
      <c r="C107" s="869"/>
      <c r="D107" s="937"/>
      <c r="E107" s="897" t="s">
        <v>1485</v>
      </c>
      <c r="F107" s="1157" t="str">
        <f>IF(('Val-Départ'!B40=""),"",VLOOKUP('Val-Départ'!B40,'Val-Départ'!B40:D40,2,FALSE))</f>
        <v/>
      </c>
      <c r="G107" s="1158"/>
      <c r="H107" s="1226">
        <f>IF(('Val-Départ'!G40=""),"",VLOOKUP('Val-Départ'!G40,'Val-Départ'!G40:AM40,24,FALSE))</f>
        <v>0</v>
      </c>
      <c r="I107" s="1131"/>
    </row>
    <row r="108" spans="1:14" ht="15.75" thickBot="1">
      <c r="B108" s="1156"/>
      <c r="C108" s="1155"/>
      <c r="D108" s="1154"/>
      <c r="E108" s="1153" t="s">
        <v>1735</v>
      </c>
      <c r="F108" s="1152" t="s">
        <v>1734</v>
      </c>
      <c r="G108" s="1151"/>
      <c r="H108" s="1150"/>
      <c r="I108" s="1149"/>
    </row>
    <row r="109" spans="1:14" ht="16.5" thickTop="1" thickBot="1">
      <c r="A109" s="1059">
        <v>41</v>
      </c>
      <c r="B109" s="1148"/>
      <c r="C109" s="1147"/>
      <c r="D109" s="1146"/>
      <c r="E109" s="1140"/>
      <c r="F109" s="1139"/>
      <c r="G109" s="1138"/>
      <c r="H109" s="1145"/>
      <c r="I109" s="1144"/>
    </row>
    <row r="110" spans="1:14" ht="15.75" thickBot="1">
      <c r="B110" s="870"/>
      <c r="C110" s="938"/>
      <c r="D110" s="937">
        <v>550</v>
      </c>
      <c r="E110" s="1079" t="s">
        <v>1738</v>
      </c>
      <c r="F110" s="1078" t="s">
        <v>1737</v>
      </c>
      <c r="G110" s="1134"/>
      <c r="H110" s="1133"/>
      <c r="I110" s="1278">
        <f>IF(('Val-Départ'!G41=""),"",VLOOKUP('Val-Départ'!G41,'Val-Départ'!G41:AM41,31,FALSE))</f>
        <v>0</v>
      </c>
    </row>
    <row r="111" spans="1:14" ht="15.75" thickBot="1">
      <c r="B111" s="870"/>
      <c r="C111" s="938">
        <v>440</v>
      </c>
      <c r="D111" s="937"/>
      <c r="E111" s="1079" t="s">
        <v>1736</v>
      </c>
      <c r="F111" s="1157" t="str">
        <f>IF(('Val-Départ'!B41=""),"",VLOOKUP('Val-Départ'!B41,'Val-Départ'!B41:D41,2,FALSE))</f>
        <v/>
      </c>
      <c r="G111" s="1090"/>
      <c r="H111" s="1226">
        <f>IF(('Val-Départ'!G41=""),"",VLOOKUP('Val-Départ'!G41,'Val-Départ'!G41:AM41,24,FALSE))</f>
        <v>0</v>
      </c>
      <c r="I111" s="1131"/>
    </row>
    <row r="112" spans="1:14" ht="15.75" thickBot="1">
      <c r="B112" s="1130"/>
      <c r="C112" s="1129"/>
      <c r="D112" s="1128"/>
      <c r="E112" s="1127" t="s">
        <v>1735</v>
      </c>
      <c r="F112" s="1126" t="s">
        <v>1734</v>
      </c>
      <c r="G112" s="1125"/>
      <c r="H112" s="1124"/>
      <c r="I112" s="1123"/>
      <c r="K112" s="680"/>
      <c r="L112" s="680"/>
      <c r="M112" s="680"/>
    </row>
    <row r="113" spans="1:16" ht="16.5" thickTop="1" thickBot="1">
      <c r="A113" s="1059">
        <v>42</v>
      </c>
      <c r="B113" s="1143"/>
      <c r="C113" s="1142"/>
      <c r="D113" s="1141"/>
      <c r="E113" s="1140"/>
      <c r="F113" s="1139"/>
      <c r="G113" s="1138"/>
      <c r="H113" s="1137"/>
      <c r="I113" s="1136"/>
      <c r="K113" s="1135"/>
      <c r="L113" s="680"/>
      <c r="M113" s="680"/>
    </row>
    <row r="114" spans="1:16" ht="15.75" thickBot="1">
      <c r="B114" s="1132"/>
      <c r="C114" s="938"/>
      <c r="D114" s="937">
        <v>550</v>
      </c>
      <c r="E114" s="1079" t="s">
        <v>1738</v>
      </c>
      <c r="F114" s="1078" t="s">
        <v>1737</v>
      </c>
      <c r="G114" s="1134"/>
      <c r="H114" s="1133"/>
      <c r="I114" s="1278">
        <f>IF(('Val-Départ'!G42=""),"",VLOOKUP('Val-Départ'!G42,'Val-Départ'!G42:AM42,31,FALSE))</f>
        <v>0</v>
      </c>
    </row>
    <row r="115" spans="1:16" ht="15.75" thickBot="1">
      <c r="B115" s="1132"/>
      <c r="C115" s="938">
        <v>440</v>
      </c>
      <c r="D115" s="937"/>
      <c r="E115" s="1079" t="s">
        <v>1736</v>
      </c>
      <c r="F115" s="1157" t="str">
        <f>IF(('Val-Départ'!B42=""),"",VLOOKUP('Val-Départ'!B42,'Val-Départ'!B42:D42,2,FALSE))</f>
        <v/>
      </c>
      <c r="G115" s="1090"/>
      <c r="H115" s="1226">
        <f>IF(('Val-Départ'!G42=""),"",VLOOKUP('Val-Départ'!G42,'Val-Départ'!G42:AM42,24,FALSE))</f>
        <v>0</v>
      </c>
      <c r="I115" s="1131"/>
    </row>
    <row r="116" spans="1:16" ht="15.75" thickBot="1">
      <c r="B116" s="1130"/>
      <c r="C116" s="1129"/>
      <c r="D116" s="1128"/>
      <c r="E116" s="1127" t="s">
        <v>1735</v>
      </c>
      <c r="F116" s="1126" t="s">
        <v>1734</v>
      </c>
      <c r="G116" s="1125"/>
      <c r="H116" s="1124"/>
      <c r="I116" s="1123"/>
    </row>
    <row r="117" spans="1:16" ht="16.5" thickTop="1" thickBot="1">
      <c r="B117" s="1122"/>
      <c r="C117" s="1121"/>
      <c r="D117" s="1121"/>
      <c r="E117" s="1120"/>
      <c r="F117" s="1120" t="s">
        <v>1712</v>
      </c>
      <c r="G117" s="1119">
        <f>(H117-I117)</f>
        <v>0</v>
      </c>
      <c r="H117" s="1118">
        <f>SUM(H85:H116)</f>
        <v>2588.61</v>
      </c>
      <c r="I117" s="1118">
        <f>SUM(I85:I116)</f>
        <v>2588.61</v>
      </c>
    </row>
    <row r="118" spans="1:16" ht="19.5" thickTop="1">
      <c r="A118" s="231"/>
      <c r="B118" s="1290" t="s">
        <v>1483</v>
      </c>
      <c r="C118" s="1290"/>
      <c r="D118" s="1290"/>
      <c r="E118" s="1290"/>
      <c r="G118" s="737"/>
      <c r="H118" s="1794" t="s">
        <v>1827</v>
      </c>
      <c r="I118" s="1794"/>
      <c r="J118" s="1794"/>
    </row>
    <row r="119" spans="1:16">
      <c r="H119" s="166"/>
    </row>
    <row r="121" spans="1:16">
      <c r="E121" s="573"/>
      <c r="F121" s="573"/>
      <c r="G121" s="573"/>
      <c r="H121" s="1117"/>
    </row>
    <row r="122" spans="1:16" ht="18.75">
      <c r="B122" s="1800" t="s">
        <v>1733</v>
      </c>
      <c r="C122" s="1800"/>
      <c r="D122" s="1800"/>
      <c r="E122" s="1800"/>
      <c r="F122" s="1800"/>
      <c r="G122" s="1800"/>
      <c r="I122" s="1116" t="s">
        <v>289</v>
      </c>
      <c r="K122" s="680"/>
      <c r="L122" s="680"/>
      <c r="M122" s="680"/>
      <c r="N122" s="680"/>
      <c r="O122" s="680"/>
    </row>
    <row r="123" spans="1:16" ht="45">
      <c r="B123" s="1112" t="s">
        <v>1494</v>
      </c>
      <c r="C123" s="1112" t="s">
        <v>1493</v>
      </c>
      <c r="D123" s="1112" t="s">
        <v>1492</v>
      </c>
      <c r="E123" s="1115"/>
      <c r="F123" s="1114"/>
      <c r="G123" s="1113"/>
      <c r="H123" s="1112" t="s">
        <v>1491</v>
      </c>
      <c r="I123" s="1112" t="s">
        <v>1490</v>
      </c>
    </row>
    <row r="124" spans="1:16" ht="15.75" thickBot="1">
      <c r="B124" s="904"/>
      <c r="C124" s="904"/>
      <c r="D124" s="904"/>
      <c r="E124" s="1805" t="s">
        <v>1732</v>
      </c>
      <c r="F124" s="1805"/>
      <c r="G124" s="1805"/>
      <c r="H124" s="1111" t="s">
        <v>289</v>
      </c>
      <c r="I124" s="904"/>
    </row>
    <row r="125" spans="1:16" ht="15.75" thickBot="1">
      <c r="A125" s="1059">
        <v>1</v>
      </c>
      <c r="B125" s="902"/>
      <c r="C125" s="901"/>
      <c r="D125" s="901"/>
      <c r="E125" s="1106" t="s">
        <v>1731</v>
      </c>
      <c r="F125" s="1110" t="str">
        <f>IF(('Val-Départ'!G13=""),"",VLOOKUP('Val-Départ'!G13,'Val-Départ'!G13:X19,1,FALSE))</f>
        <v>Emballage</v>
      </c>
      <c r="G125" s="1105"/>
      <c r="H125" s="902"/>
      <c r="I125" s="1110">
        <f>IF(('Val-Départ'!G13=""),"",VLOOKUP('Val-Départ'!G13,'Val-Départ'!G13:AA19,8,FALSE))</f>
        <v>1239.47</v>
      </c>
      <c r="J125" s="4"/>
      <c r="L125" s="139"/>
      <c r="M125" s="139"/>
      <c r="N125" s="4"/>
      <c r="O125" s="4"/>
      <c r="P125" s="4"/>
    </row>
    <row r="126" spans="1:16" ht="15.75" thickBot="1">
      <c r="A126" s="1059">
        <v>2</v>
      </c>
      <c r="B126" s="870"/>
      <c r="C126" s="869"/>
      <c r="D126" s="869"/>
      <c r="E126" s="1079"/>
      <c r="F126" s="1110" t="str">
        <f>IF(('Val-Départ'!G14=""),"",VLOOKUP('Val-Départ'!G14,'Val-Départ'!G14:X20,1,FALSE))</f>
        <v>Marchandise</v>
      </c>
      <c r="G126" s="1101"/>
      <c r="H126" s="870"/>
      <c r="I126" s="1110">
        <f>IF(('Val-Départ'!G14=""),"",VLOOKUP('Val-Départ'!G14,'Val-Départ'!G14:AA20,8,FALSE))</f>
        <v>921.92</v>
      </c>
      <c r="J126" s="4"/>
      <c r="L126" s="139"/>
      <c r="M126" s="139"/>
      <c r="N126" s="139"/>
      <c r="O126" s="4"/>
      <c r="P126" s="4"/>
    </row>
    <row r="127" spans="1:16" ht="15.75" thickBot="1">
      <c r="A127" s="1059">
        <v>3</v>
      </c>
      <c r="B127" s="870"/>
      <c r="C127" s="869"/>
      <c r="D127" s="869"/>
      <c r="E127" s="1079"/>
      <c r="F127" s="1110">
        <f>IF(('Val-Départ'!G15=""),"",VLOOKUP('Val-Départ'!G15,'Val-Départ'!G15:X21,1,FALSE))</f>
        <v>0</v>
      </c>
      <c r="G127" s="1101"/>
      <c r="H127" s="870"/>
      <c r="I127" s="1110">
        <f>IF(('Val-Départ'!G15=""),"",VLOOKUP('Val-Départ'!G15,'Val-Départ'!G15:AA21,8,FALSE))</f>
        <v>0</v>
      </c>
      <c r="J127" s="4"/>
      <c r="L127" s="165"/>
      <c r="M127" s="165"/>
      <c r="N127" s="165"/>
      <c r="O127" s="1109"/>
      <c r="P127" s="165"/>
    </row>
    <row r="128" spans="1:16" ht="15.75" thickBot="1">
      <c r="A128" s="1059">
        <v>4</v>
      </c>
      <c r="B128" s="870"/>
      <c r="C128" s="869"/>
      <c r="D128" s="869"/>
      <c r="E128" s="1079"/>
      <c r="F128" s="1110">
        <f>IF(('Val-Départ'!G16=""),"",VLOOKUP('Val-Départ'!G16,'Val-Départ'!G16:X22,1,FALSE))</f>
        <v>0</v>
      </c>
      <c r="G128" s="1101"/>
      <c r="H128" s="870"/>
      <c r="I128" s="1110">
        <f>IF(('Val-Départ'!G16=""),"",VLOOKUP('Val-Départ'!G16,'Val-Départ'!G16:AA22,8,FALSE))</f>
        <v>0</v>
      </c>
      <c r="J128" s="4"/>
      <c r="L128" s="4"/>
      <c r="M128" s="4"/>
      <c r="N128" s="4"/>
      <c r="O128" s="4"/>
      <c r="P128" s="4"/>
    </row>
    <row r="129" spans="1:16" ht="15.75" thickBot="1">
      <c r="A129" s="1059">
        <v>5</v>
      </c>
      <c r="B129" s="870"/>
      <c r="C129" s="869"/>
      <c r="D129" s="869"/>
      <c r="E129" s="1079"/>
      <c r="F129" s="1110" t="str">
        <f>IF(('Val-Départ'!G17=""),"",VLOOKUP('Val-Départ'!G17,'Val-Départ'!G17:X23,1,FALSE))</f>
        <v>Marchandise</v>
      </c>
      <c r="G129" s="1101"/>
      <c r="H129" s="870"/>
      <c r="I129" s="1110">
        <f>IF(('Val-Départ'!G17=""),"",VLOOKUP('Val-Départ'!G17,'Val-Départ'!G17:AA23,8,FALSE))</f>
        <v>0</v>
      </c>
      <c r="J129" s="4"/>
      <c r="L129" s="139"/>
      <c r="M129" s="139"/>
      <c r="N129" s="139"/>
      <c r="O129" s="4"/>
      <c r="P129" s="4"/>
    </row>
    <row r="130" spans="1:16" ht="15.75" thickBot="1">
      <c r="A130" s="1059">
        <v>6</v>
      </c>
      <c r="B130" s="870"/>
      <c r="C130" s="869"/>
      <c r="D130" s="869"/>
      <c r="E130" s="1079"/>
      <c r="F130" s="1110">
        <f>IF(('Val-Départ'!G18=""),"",VLOOKUP('Val-Départ'!G18,'Val-Départ'!G18:X24,1,FALSE))</f>
        <v>0</v>
      </c>
      <c r="G130" s="1101"/>
      <c r="H130" s="870"/>
      <c r="I130" s="1110">
        <f>IF(('Val-Départ'!G18=""),"",VLOOKUP('Val-Départ'!G18,'Val-Départ'!G18:AA24,8,FALSE))</f>
        <v>0</v>
      </c>
      <c r="J130" s="4"/>
      <c r="L130" s="139"/>
      <c r="M130" s="139"/>
      <c r="N130" s="139"/>
      <c r="O130" s="4"/>
      <c r="P130" s="4"/>
    </row>
    <row r="131" spans="1:16" ht="15.75" thickBot="1">
      <c r="A131" s="1059">
        <v>7</v>
      </c>
      <c r="B131" s="870"/>
      <c r="C131" s="869"/>
      <c r="D131" s="869"/>
      <c r="E131" s="1079"/>
      <c r="F131" s="1110">
        <f>IF(('Val-Départ'!G19=""),"",VLOOKUP('Val-Départ'!G19,'Val-Départ'!G19:X25,1,FALSE))</f>
        <v>0</v>
      </c>
      <c r="G131" s="1101"/>
      <c r="H131" s="870"/>
      <c r="I131" s="1110">
        <f>IF(('Val-Départ'!G19=""),"",VLOOKUP('Val-Départ'!G19,'Val-Départ'!G19:AA25,8,FALSE))</f>
        <v>0</v>
      </c>
      <c r="J131" s="4"/>
      <c r="L131" s="4"/>
      <c r="M131" s="4"/>
      <c r="N131" s="4"/>
      <c r="O131" s="4"/>
      <c r="P131" s="4"/>
    </row>
    <row r="132" spans="1:16" ht="15.75" thickBot="1">
      <c r="A132" s="1059">
        <v>8</v>
      </c>
      <c r="B132" s="1089"/>
      <c r="C132" s="1088"/>
      <c r="D132" s="1088"/>
      <c r="E132" s="1108"/>
      <c r="F132" s="1110">
        <f>IF(('Val-Départ'!G20=""),"",VLOOKUP('Val-Départ'!G20,'Val-Départ'!G20:X26,1,FALSE))</f>
        <v>0</v>
      </c>
      <c r="G132" s="1107"/>
      <c r="H132" s="1089"/>
      <c r="I132" s="1110">
        <f>IF(('Val-Départ'!G20=""),"",VLOOKUP('Val-Départ'!G20,'Val-Départ'!G20:AA26,8,FALSE))</f>
        <v>0</v>
      </c>
      <c r="J132" s="4"/>
      <c r="L132" s="165"/>
      <c r="M132" s="165"/>
      <c r="N132" s="165"/>
      <c r="O132" s="165"/>
      <c r="P132" s="4"/>
    </row>
    <row r="133" spans="1:16" ht="15.75" thickBot="1">
      <c r="B133" s="890"/>
      <c r="C133" s="889"/>
      <c r="D133" s="889"/>
      <c r="E133" s="1106" t="s">
        <v>1730</v>
      </c>
      <c r="F133" s="1105" t="s">
        <v>1729</v>
      </c>
      <c r="G133" s="1104"/>
      <c r="H133" s="1103"/>
      <c r="I133" s="1102">
        <f>IF(('Val-Départ'!G26=""),"",VLOOKUP('Val-Départ'!G26,'Val-Départ'!G26:AA26,15,FALSE))</f>
        <v>453.89189999999996</v>
      </c>
      <c r="J133" s="4"/>
      <c r="K133" s="1110"/>
      <c r="L133" s="4"/>
      <c r="M133" s="4"/>
      <c r="N133" s="4"/>
      <c r="O133" s="4"/>
      <c r="P133" s="4"/>
    </row>
    <row r="134" spans="1:16">
      <c r="B134" s="870"/>
      <c r="C134" s="869"/>
      <c r="D134" s="869"/>
      <c r="E134" s="1079" t="s">
        <v>6</v>
      </c>
      <c r="F134" s="1101"/>
      <c r="G134" s="1077"/>
      <c r="H134" s="1066">
        <f>SUM(I125:I133)</f>
        <v>2615.2819</v>
      </c>
      <c r="I134" s="1066"/>
      <c r="J134" s="4"/>
      <c r="K134" s="1110"/>
      <c r="L134" s="139"/>
      <c r="M134" s="139"/>
      <c r="N134" s="139"/>
      <c r="O134" s="4"/>
      <c r="P134" s="4"/>
    </row>
    <row r="135" spans="1:16" ht="15.75" thickBot="1">
      <c r="B135" s="865"/>
      <c r="C135" s="864"/>
      <c r="D135" s="864"/>
      <c r="E135" s="1065" t="s">
        <v>1715</v>
      </c>
      <c r="F135" s="1064" t="s">
        <v>1714</v>
      </c>
      <c r="G135" s="1063" t="s">
        <v>276</v>
      </c>
      <c r="H135" s="1062"/>
      <c r="I135" s="1062"/>
      <c r="J135" s="4"/>
      <c r="K135" s="165"/>
      <c r="L135" s="165"/>
      <c r="M135" s="165"/>
      <c r="N135" s="165"/>
      <c r="O135" s="165"/>
      <c r="P135" s="4"/>
    </row>
    <row r="136" spans="1:16" ht="15.75">
      <c r="B136" s="1100"/>
      <c r="C136" s="1099"/>
      <c r="D136" s="1099"/>
      <c r="E136" s="1806" t="s">
        <v>1728</v>
      </c>
      <c r="F136" s="1807"/>
      <c r="G136" s="1808"/>
      <c r="H136" s="1098" t="s">
        <v>1727</v>
      </c>
      <c r="I136" s="1097"/>
      <c r="J136" s="4"/>
      <c r="K136" s="165"/>
      <c r="L136" s="165"/>
      <c r="M136" s="165"/>
      <c r="N136" s="165"/>
      <c r="O136" s="165"/>
      <c r="P136" s="4"/>
    </row>
    <row r="137" spans="1:16">
      <c r="A137" s="1059">
        <v>1</v>
      </c>
      <c r="B137" s="890"/>
      <c r="C137" s="889"/>
      <c r="D137" s="1096"/>
      <c r="E137" s="1095" t="s">
        <v>1726</v>
      </c>
      <c r="F137" s="1093" t="str">
        <f>IF(('Val-Départ'!G35=""),"",VLOOKUP('Val-Départ'!G35,'Val-Départ'!G35:Z35,1,FALSE))</f>
        <v>outillage</v>
      </c>
      <c r="G137" s="1094"/>
      <c r="H137" s="1093">
        <f>IF(('Val-Départ'!G35=""),"",VLOOKUP('Val-Départ'!G35,'Val-Départ'!G35:AB35,11,FALSE))</f>
        <v>743.68</v>
      </c>
      <c r="I137" s="1092"/>
      <c r="J137" s="4"/>
      <c r="K137" s="4"/>
      <c r="L137" s="4"/>
      <c r="M137" s="4"/>
      <c r="N137" s="4"/>
      <c r="O137" s="4"/>
      <c r="P137" s="4"/>
    </row>
    <row r="138" spans="1:16">
      <c r="A138" s="1059">
        <v>2</v>
      </c>
      <c r="B138" s="870"/>
      <c r="C138" s="869"/>
      <c r="D138" s="937"/>
      <c r="E138" s="1091"/>
      <c r="F138" s="1093" t="str">
        <f>IF(('Val-Départ'!G36=""),"",VLOOKUP('Val-Départ'!G36,'Val-Départ'!G36:Z36,1,FALSE))</f>
        <v>Marchandise</v>
      </c>
      <c r="G138" s="1090"/>
      <c r="H138" s="1093">
        <f>IF(('Val-Départ'!G36=""),"",VLOOKUP('Val-Départ'!G36,'Val-Départ'!G36:AB36,11,FALSE))</f>
        <v>1395.67</v>
      </c>
      <c r="I138" s="866"/>
      <c r="J138" s="4"/>
      <c r="K138" s="139"/>
      <c r="L138" s="139"/>
      <c r="M138" s="139"/>
      <c r="N138" s="139"/>
      <c r="O138" s="4"/>
      <c r="P138" s="4"/>
    </row>
    <row r="139" spans="1:16">
      <c r="A139" s="1059">
        <v>3</v>
      </c>
      <c r="B139" s="870"/>
      <c r="C139" s="869"/>
      <c r="D139" s="937"/>
      <c r="E139" s="1079"/>
      <c r="F139" s="1093" t="str">
        <f>IF(('Val-Départ'!G37=""),"",VLOOKUP('Val-Départ'!G37,'Val-Départ'!G37:Z37,1,FALSE))</f>
        <v>Marchandise</v>
      </c>
      <c r="G139" s="1077"/>
      <c r="H139" s="1093">
        <f>IF(('Val-Départ'!G37=""),"",VLOOKUP('Val-Départ'!G37,'Val-Départ'!G37:AB37,11,FALSE))</f>
        <v>0</v>
      </c>
      <c r="I139" s="866"/>
      <c r="J139" s="4"/>
      <c r="K139" s="165"/>
      <c r="L139" s="165"/>
      <c r="M139" s="165"/>
      <c r="N139" s="165"/>
      <c r="O139" s="165"/>
      <c r="P139" s="165"/>
    </row>
    <row r="140" spans="1:16">
      <c r="A140" s="1059">
        <v>4</v>
      </c>
      <c r="B140" s="870"/>
      <c r="C140" s="869"/>
      <c r="D140" s="937"/>
      <c r="E140" s="1079"/>
      <c r="F140" s="1093" t="str">
        <f>IF(('Val-Départ'!G38=""),"",VLOOKUP('Val-Départ'!G38,'Val-Départ'!G38:Z38,1,FALSE))</f>
        <v>Marchandise</v>
      </c>
      <c r="G140" s="1077"/>
      <c r="H140" s="1093">
        <f>IF(('Val-Départ'!G38=""),"",VLOOKUP('Val-Départ'!G38,'Val-Départ'!G38:AB38,11,FALSE))</f>
        <v>0</v>
      </c>
      <c r="I140" s="866"/>
      <c r="J140" s="4"/>
      <c r="K140" s="4"/>
      <c r="L140" s="4"/>
      <c r="M140" s="4"/>
      <c r="N140" s="4"/>
      <c r="O140" s="4"/>
      <c r="P140" s="4"/>
    </row>
    <row r="141" spans="1:16">
      <c r="A141" s="1059">
        <v>5</v>
      </c>
      <c r="B141" s="870"/>
      <c r="C141" s="869"/>
      <c r="D141" s="937"/>
      <c r="E141" s="1079"/>
      <c r="F141" s="1093" t="str">
        <f>IF(('Val-Départ'!G39=""),"",VLOOKUP('Val-Départ'!G39,'Val-Départ'!G39:Z39,1,FALSE))</f>
        <v>Entret./M.R.</v>
      </c>
      <c r="G141" s="1077"/>
      <c r="H141" s="1093">
        <f>IF(('Val-Départ'!G39=""),"",VLOOKUP('Val-Départ'!G39,'Val-Départ'!G39:AB39,11,FALSE))</f>
        <v>0</v>
      </c>
      <c r="I141" s="866"/>
    </row>
    <row r="142" spans="1:16">
      <c r="A142" s="1059">
        <v>6</v>
      </c>
      <c r="B142" s="870"/>
      <c r="C142" s="869"/>
      <c r="D142" s="937"/>
      <c r="E142" s="1079"/>
      <c r="F142" s="1093" t="str">
        <f>IF(('Val-Départ'!G40=""),"",VLOOKUP('Val-Départ'!G40,'Val-Départ'!G40:Z40,1,FALSE))</f>
        <v>note de crédit</v>
      </c>
      <c r="G142" s="1077"/>
      <c r="H142" s="1093">
        <f>IF(('Val-Départ'!G40=""),"",VLOOKUP('Val-Départ'!G40,'Val-Départ'!G40:AB40,11,FALSE))</f>
        <v>0</v>
      </c>
      <c r="I142" s="866"/>
    </row>
    <row r="143" spans="1:16">
      <c r="A143" s="1059">
        <v>7</v>
      </c>
      <c r="B143" s="870"/>
      <c r="C143" s="869"/>
      <c r="D143" s="937"/>
      <c r="E143" s="1079"/>
      <c r="F143" s="1093" t="str">
        <f>IF(('Val-Départ'!G41=""),"",VLOOKUP('Val-Départ'!G41,'Val-Départ'!G41:Z41,1,FALSE))</f>
        <v>Pub.</v>
      </c>
      <c r="G143" s="1077"/>
      <c r="H143" s="1093">
        <f>IF(('Val-Départ'!G41=""),"",VLOOKUP('Val-Départ'!G41,'Val-Départ'!G41:AB41,11,FALSE))</f>
        <v>0</v>
      </c>
      <c r="I143" s="866"/>
    </row>
    <row r="144" spans="1:16">
      <c r="A144" s="1059">
        <v>8</v>
      </c>
      <c r="B144" s="1089"/>
      <c r="C144" s="1088"/>
      <c r="D144" s="1087"/>
      <c r="E144" s="1086"/>
      <c r="F144" s="1093" t="str">
        <f>IF(('Val-Départ'!G42=""),"",VLOOKUP('Val-Départ'!G42,'Val-Départ'!G42:Z42,1,FALSE))</f>
        <v>cocontractant</v>
      </c>
      <c r="G144" s="1085"/>
      <c r="H144" s="1093">
        <f>IF(('Val-Départ'!G42=""),"",VLOOKUP('Val-Départ'!G42,'Val-Départ'!G42:AB42,11,FALSE))</f>
        <v>0</v>
      </c>
      <c r="I144" s="1084"/>
    </row>
    <row r="145" spans="1:15">
      <c r="B145" s="890"/>
      <c r="C145" s="889"/>
      <c r="D145" s="889"/>
      <c r="E145" s="1083" t="s">
        <v>1725</v>
      </c>
      <c r="F145" s="1082" t="s">
        <v>1724</v>
      </c>
      <c r="G145" s="1081"/>
      <c r="H145" s="1093">
        <f>IF(('Val-Départ'!G46="0"),"0",VLOOKUP('Val-Départ'!G46,'Val-Départ'!G46:AB46,18,FALSE))</f>
        <v>449.26350000000002</v>
      </c>
      <c r="I145" s="1080"/>
    </row>
    <row r="146" spans="1:15">
      <c r="B146" s="870"/>
      <c r="C146" s="869"/>
      <c r="D146" s="869"/>
      <c r="E146" s="1079" t="s">
        <v>1723</v>
      </c>
      <c r="F146" s="1078"/>
      <c r="G146" s="1077"/>
      <c r="H146" s="1066"/>
      <c r="I146" s="1066">
        <f>SUM(H137:H145)</f>
        <v>2588.6134999999999</v>
      </c>
      <c r="K146" s="715"/>
    </row>
    <row r="147" spans="1:15" ht="15.75" thickBot="1">
      <c r="B147" s="865"/>
      <c r="C147" s="864"/>
      <c r="D147" s="864"/>
      <c r="E147" s="1065" t="s">
        <v>1715</v>
      </c>
      <c r="F147" s="1064" t="s">
        <v>1714</v>
      </c>
      <c r="G147" s="1063" t="s">
        <v>1722</v>
      </c>
      <c r="H147" s="1062"/>
      <c r="I147" s="1062"/>
    </row>
    <row r="148" spans="1:15">
      <c r="B148" s="1076"/>
      <c r="C148" s="1075"/>
      <c r="D148" s="1075"/>
      <c r="E148" s="1074"/>
      <c r="F148" s="1073"/>
      <c r="G148" s="1072"/>
      <c r="H148" s="1071" t="s">
        <v>1721</v>
      </c>
      <c r="I148" s="1071" t="s">
        <v>1720</v>
      </c>
    </row>
    <row r="149" spans="1:15">
      <c r="B149" s="890"/>
      <c r="C149" s="889"/>
      <c r="D149" s="889"/>
      <c r="E149" s="1812" t="s">
        <v>1719</v>
      </c>
      <c r="F149" s="1813"/>
      <c r="G149" s="1070" t="s">
        <v>1716</v>
      </c>
      <c r="H149" s="1093">
        <f>IF(('Val-Départ'!G46="0"),"0",VLOOKUP('Val-Départ'!G46,'Val-Départ'!G46:AK46,31,FALSE))</f>
        <v>2588.61</v>
      </c>
      <c r="I149" s="1069"/>
      <c r="K149" s="1624" t="s">
        <v>1822</v>
      </c>
      <c r="L149" s="1624"/>
      <c r="M149" s="1624" t="s">
        <v>1824</v>
      </c>
      <c r="N149" s="1624"/>
      <c r="O149" s="1624"/>
    </row>
    <row r="150" spans="1:15">
      <c r="B150" s="870"/>
      <c r="C150" s="869"/>
      <c r="D150" s="869"/>
      <c r="E150" s="1814" t="s">
        <v>1718</v>
      </c>
      <c r="F150" s="1815"/>
      <c r="G150" s="1068" t="s">
        <v>1716</v>
      </c>
      <c r="H150" s="1067"/>
      <c r="I150" s="1102">
        <f>IF(('Val-Départ'!G26=""),"",VLOOKUP('Val-Départ'!G26,'Val-Départ'!G26:AD26,24,FALSE))</f>
        <v>3681.43</v>
      </c>
      <c r="K150" s="1624" t="s">
        <v>1823</v>
      </c>
      <c r="L150" s="1624"/>
      <c r="M150" s="1624" t="s">
        <v>1825</v>
      </c>
      <c r="N150" s="1624"/>
      <c r="O150" s="1624"/>
    </row>
    <row r="151" spans="1:15">
      <c r="B151" s="870"/>
      <c r="C151" s="869"/>
      <c r="D151" s="869"/>
      <c r="E151" s="1810" t="s">
        <v>1717</v>
      </c>
      <c r="F151" s="1811"/>
      <c r="G151" s="1068" t="s">
        <v>1716</v>
      </c>
      <c r="H151" s="1067">
        <f>IF(H149&lt;I150,I150-H149,0)</f>
        <v>1092.8199999999997</v>
      </c>
      <c r="I151" s="1066">
        <f>IF(H149&gt;I150,H149-I150,0)</f>
        <v>0</v>
      </c>
      <c r="K151" s="1781" t="s">
        <v>1839</v>
      </c>
      <c r="L151" s="1620"/>
      <c r="M151" s="1620"/>
      <c r="N151" s="1782"/>
    </row>
    <row r="152" spans="1:15" ht="15.75" thickBot="1">
      <c r="A152" s="737"/>
      <c r="B152" s="865"/>
      <c r="C152" s="864"/>
      <c r="D152" s="864"/>
      <c r="E152" s="1065" t="s">
        <v>1715</v>
      </c>
      <c r="F152" s="1064" t="s">
        <v>1714</v>
      </c>
      <c r="G152" s="1063" t="s">
        <v>1713</v>
      </c>
      <c r="H152" s="1062"/>
      <c r="I152" s="1062"/>
      <c r="K152" s="1609" t="s">
        <v>1865</v>
      </c>
      <c r="L152" s="1610"/>
      <c r="M152" s="1610"/>
      <c r="N152" s="1783"/>
    </row>
    <row r="153" spans="1:15">
      <c r="A153" s="737"/>
      <c r="B153" s="43"/>
      <c r="C153" s="936"/>
      <c r="D153" s="936"/>
      <c r="E153" s="550"/>
      <c r="F153" s="1061" t="s">
        <v>1712</v>
      </c>
      <c r="G153" s="1060">
        <f>(H153-I153)</f>
        <v>0</v>
      </c>
      <c r="H153" s="859">
        <f>SUM(H125:H152)</f>
        <v>8885.3253999999997</v>
      </c>
      <c r="I153" s="859">
        <f>SUM(I125:I152)</f>
        <v>8885.3253999999997</v>
      </c>
    </row>
    <row r="154" spans="1:15" ht="18.75">
      <c r="A154" s="737"/>
      <c r="D154" s="1762" t="s">
        <v>1483</v>
      </c>
      <c r="E154" s="1762"/>
      <c r="F154" s="1762"/>
      <c r="G154" s="1762"/>
      <c r="H154" s="1809" t="s">
        <v>1711</v>
      </c>
      <c r="I154" s="1809"/>
    </row>
    <row r="155" spans="1:15">
      <c r="A155" s="737"/>
      <c r="C155" s="75"/>
      <c r="D155" s="75"/>
      <c r="E155" s="75"/>
      <c r="F155" s="75"/>
      <c r="H155" s="1799"/>
      <c r="I155" s="1799"/>
    </row>
    <row r="156" spans="1:15">
      <c r="A156" s="737"/>
      <c r="C156" s="75"/>
      <c r="D156" s="75"/>
      <c r="E156" s="1798"/>
      <c r="F156" s="1798"/>
      <c r="G156" s="1798"/>
      <c r="H156" s="166"/>
      <c r="I156" s="75"/>
    </row>
    <row r="157" spans="1:15">
      <c r="A157" s="737"/>
      <c r="C157" s="75"/>
      <c r="D157" s="75"/>
      <c r="E157" s="75"/>
      <c r="F157" s="75"/>
    </row>
    <row r="158" spans="1:15">
      <c r="A158" s="737"/>
      <c r="C158" s="75"/>
      <c r="D158" s="75"/>
      <c r="E158" s="75"/>
      <c r="F158" s="75"/>
    </row>
    <row r="159" spans="1:15">
      <c r="A159" s="737"/>
      <c r="C159" s="75"/>
      <c r="D159" s="75"/>
      <c r="E159" s="75"/>
      <c r="F159" s="75"/>
      <c r="H159" s="75"/>
    </row>
    <row r="160" spans="1:15">
      <c r="A160" s="737"/>
      <c r="C160" s="75"/>
      <c r="D160" s="75"/>
      <c r="E160" s="75"/>
      <c r="F160" s="75"/>
      <c r="H160" s="933"/>
    </row>
    <row r="161" spans="1:9">
      <c r="A161" s="737"/>
      <c r="C161" s="75"/>
      <c r="D161" s="75"/>
      <c r="E161" s="75"/>
      <c r="F161" s="75"/>
      <c r="H161" s="75"/>
      <c r="I161" s="75"/>
    </row>
    <row r="162" spans="1:9">
      <c r="A162" s="737"/>
      <c r="C162" s="75"/>
      <c r="D162" s="75"/>
      <c r="E162" s="75"/>
      <c r="F162" s="75"/>
    </row>
  </sheetData>
  <mergeCells count="30">
    <mergeCell ref="B4:G4"/>
    <mergeCell ref="E156:G156"/>
    <mergeCell ref="H155:I155"/>
    <mergeCell ref="B122:G122"/>
    <mergeCell ref="E83:G83"/>
    <mergeCell ref="E84:G84"/>
    <mergeCell ref="E124:G124"/>
    <mergeCell ref="D154:G154"/>
    <mergeCell ref="E136:G136"/>
    <mergeCell ref="H154:I154"/>
    <mergeCell ref="E151:F151"/>
    <mergeCell ref="E149:F149"/>
    <mergeCell ref="E150:F150"/>
    <mergeCell ref="H70:I70"/>
    <mergeCell ref="H118:J118"/>
    <mergeCell ref="E79:G79"/>
    <mergeCell ref="D70:G70"/>
    <mergeCell ref="B16:G16"/>
    <mergeCell ref="B82:G82"/>
    <mergeCell ref="E17:G17"/>
    <mergeCell ref="E18:G18"/>
    <mergeCell ref="F68:H68"/>
    <mergeCell ref="E20:G20"/>
    <mergeCell ref="H4:J4"/>
    <mergeCell ref="K151:N151"/>
    <mergeCell ref="K152:N152"/>
    <mergeCell ref="K149:L149"/>
    <mergeCell ref="K150:L150"/>
    <mergeCell ref="M149:O149"/>
    <mergeCell ref="M150:O150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4"/>
  <sheetViews>
    <sheetView showWhiteSpace="0" topLeftCell="A40" workbookViewId="0">
      <selection activeCell="D4" sqref="D4"/>
    </sheetView>
  </sheetViews>
  <sheetFormatPr baseColWidth="10" defaultRowHeight="18.75"/>
  <cols>
    <col min="1" max="1" width="11.42578125" style="911"/>
    <col min="2" max="2" width="58.140625" style="737" bestFit="1" customWidth="1"/>
    <col min="3" max="3" width="11.42578125" style="737"/>
    <col min="4" max="4" width="13.5703125" style="910" bestFit="1" customWidth="1"/>
    <col min="5" max="257" width="11.42578125" style="737"/>
    <col min="258" max="258" width="58.140625" style="737" bestFit="1" customWidth="1"/>
    <col min="259" max="259" width="11.42578125" style="737"/>
    <col min="260" max="260" width="13.5703125" style="737" bestFit="1" customWidth="1"/>
    <col min="261" max="513" width="11.42578125" style="737"/>
    <col min="514" max="514" width="58.140625" style="737" bestFit="1" customWidth="1"/>
    <col min="515" max="515" width="11.42578125" style="737"/>
    <col min="516" max="516" width="13.5703125" style="737" bestFit="1" customWidth="1"/>
    <col min="517" max="769" width="11.42578125" style="737"/>
    <col min="770" max="770" width="58.140625" style="737" bestFit="1" customWidth="1"/>
    <col min="771" max="771" width="11.42578125" style="737"/>
    <col min="772" max="772" width="13.5703125" style="737" bestFit="1" customWidth="1"/>
    <col min="773" max="1025" width="11.42578125" style="737"/>
    <col min="1026" max="1026" width="58.140625" style="737" bestFit="1" customWidth="1"/>
    <col min="1027" max="1027" width="11.42578125" style="737"/>
    <col min="1028" max="1028" width="13.5703125" style="737" bestFit="1" customWidth="1"/>
    <col min="1029" max="1281" width="11.42578125" style="737"/>
    <col min="1282" max="1282" width="58.140625" style="737" bestFit="1" customWidth="1"/>
    <col min="1283" max="1283" width="11.42578125" style="737"/>
    <col min="1284" max="1284" width="13.5703125" style="737" bestFit="1" customWidth="1"/>
    <col min="1285" max="1537" width="11.42578125" style="737"/>
    <col min="1538" max="1538" width="58.140625" style="737" bestFit="1" customWidth="1"/>
    <col min="1539" max="1539" width="11.42578125" style="737"/>
    <col min="1540" max="1540" width="13.5703125" style="737" bestFit="1" customWidth="1"/>
    <col min="1541" max="1793" width="11.42578125" style="737"/>
    <col min="1794" max="1794" width="58.140625" style="737" bestFit="1" customWidth="1"/>
    <col min="1795" max="1795" width="11.42578125" style="737"/>
    <col min="1796" max="1796" width="13.5703125" style="737" bestFit="1" customWidth="1"/>
    <col min="1797" max="2049" width="11.42578125" style="737"/>
    <col min="2050" max="2050" width="58.140625" style="737" bestFit="1" customWidth="1"/>
    <col min="2051" max="2051" width="11.42578125" style="737"/>
    <col min="2052" max="2052" width="13.5703125" style="737" bestFit="1" customWidth="1"/>
    <col min="2053" max="2305" width="11.42578125" style="737"/>
    <col min="2306" max="2306" width="58.140625" style="737" bestFit="1" customWidth="1"/>
    <col min="2307" max="2307" width="11.42578125" style="737"/>
    <col min="2308" max="2308" width="13.5703125" style="737" bestFit="1" customWidth="1"/>
    <col min="2309" max="2561" width="11.42578125" style="737"/>
    <col min="2562" max="2562" width="58.140625" style="737" bestFit="1" customWidth="1"/>
    <col min="2563" max="2563" width="11.42578125" style="737"/>
    <col min="2564" max="2564" width="13.5703125" style="737" bestFit="1" customWidth="1"/>
    <col min="2565" max="2817" width="11.42578125" style="737"/>
    <col min="2818" max="2818" width="58.140625" style="737" bestFit="1" customWidth="1"/>
    <col min="2819" max="2819" width="11.42578125" style="737"/>
    <col min="2820" max="2820" width="13.5703125" style="737" bestFit="1" customWidth="1"/>
    <col min="2821" max="3073" width="11.42578125" style="737"/>
    <col min="3074" max="3074" width="58.140625" style="737" bestFit="1" customWidth="1"/>
    <col min="3075" max="3075" width="11.42578125" style="737"/>
    <col min="3076" max="3076" width="13.5703125" style="737" bestFit="1" customWidth="1"/>
    <col min="3077" max="3329" width="11.42578125" style="737"/>
    <col min="3330" max="3330" width="58.140625" style="737" bestFit="1" customWidth="1"/>
    <col min="3331" max="3331" width="11.42578125" style="737"/>
    <col min="3332" max="3332" width="13.5703125" style="737" bestFit="1" customWidth="1"/>
    <col min="3333" max="3585" width="11.42578125" style="737"/>
    <col min="3586" max="3586" width="58.140625" style="737" bestFit="1" customWidth="1"/>
    <col min="3587" max="3587" width="11.42578125" style="737"/>
    <col min="3588" max="3588" width="13.5703125" style="737" bestFit="1" customWidth="1"/>
    <col min="3589" max="3841" width="11.42578125" style="737"/>
    <col min="3842" max="3842" width="58.140625" style="737" bestFit="1" customWidth="1"/>
    <col min="3843" max="3843" width="11.42578125" style="737"/>
    <col min="3844" max="3844" width="13.5703125" style="737" bestFit="1" customWidth="1"/>
    <col min="3845" max="4097" width="11.42578125" style="737"/>
    <col min="4098" max="4098" width="58.140625" style="737" bestFit="1" customWidth="1"/>
    <col min="4099" max="4099" width="11.42578125" style="737"/>
    <col min="4100" max="4100" width="13.5703125" style="737" bestFit="1" customWidth="1"/>
    <col min="4101" max="4353" width="11.42578125" style="737"/>
    <col min="4354" max="4354" width="58.140625" style="737" bestFit="1" customWidth="1"/>
    <col min="4355" max="4355" width="11.42578125" style="737"/>
    <col min="4356" max="4356" width="13.5703125" style="737" bestFit="1" customWidth="1"/>
    <col min="4357" max="4609" width="11.42578125" style="737"/>
    <col min="4610" max="4610" width="58.140625" style="737" bestFit="1" customWidth="1"/>
    <col min="4611" max="4611" width="11.42578125" style="737"/>
    <col min="4612" max="4612" width="13.5703125" style="737" bestFit="1" customWidth="1"/>
    <col min="4613" max="4865" width="11.42578125" style="737"/>
    <col min="4866" max="4866" width="58.140625" style="737" bestFit="1" customWidth="1"/>
    <col min="4867" max="4867" width="11.42578125" style="737"/>
    <col min="4868" max="4868" width="13.5703125" style="737" bestFit="1" customWidth="1"/>
    <col min="4869" max="5121" width="11.42578125" style="737"/>
    <col min="5122" max="5122" width="58.140625" style="737" bestFit="1" customWidth="1"/>
    <col min="5123" max="5123" width="11.42578125" style="737"/>
    <col min="5124" max="5124" width="13.5703125" style="737" bestFit="1" customWidth="1"/>
    <col min="5125" max="5377" width="11.42578125" style="737"/>
    <col min="5378" max="5378" width="58.140625" style="737" bestFit="1" customWidth="1"/>
    <col min="5379" max="5379" width="11.42578125" style="737"/>
    <col min="5380" max="5380" width="13.5703125" style="737" bestFit="1" customWidth="1"/>
    <col min="5381" max="5633" width="11.42578125" style="737"/>
    <col min="5634" max="5634" width="58.140625" style="737" bestFit="1" customWidth="1"/>
    <col min="5635" max="5635" width="11.42578125" style="737"/>
    <col min="5636" max="5636" width="13.5703125" style="737" bestFit="1" customWidth="1"/>
    <col min="5637" max="5889" width="11.42578125" style="737"/>
    <col min="5890" max="5890" width="58.140625" style="737" bestFit="1" customWidth="1"/>
    <col min="5891" max="5891" width="11.42578125" style="737"/>
    <col min="5892" max="5892" width="13.5703125" style="737" bestFit="1" customWidth="1"/>
    <col min="5893" max="6145" width="11.42578125" style="737"/>
    <col min="6146" max="6146" width="58.140625" style="737" bestFit="1" customWidth="1"/>
    <col min="6147" max="6147" width="11.42578125" style="737"/>
    <col min="6148" max="6148" width="13.5703125" style="737" bestFit="1" customWidth="1"/>
    <col min="6149" max="6401" width="11.42578125" style="737"/>
    <col min="6402" max="6402" width="58.140625" style="737" bestFit="1" customWidth="1"/>
    <col min="6403" max="6403" width="11.42578125" style="737"/>
    <col min="6404" max="6404" width="13.5703125" style="737" bestFit="1" customWidth="1"/>
    <col min="6405" max="6657" width="11.42578125" style="737"/>
    <col min="6658" max="6658" width="58.140625" style="737" bestFit="1" customWidth="1"/>
    <col min="6659" max="6659" width="11.42578125" style="737"/>
    <col min="6660" max="6660" width="13.5703125" style="737" bestFit="1" customWidth="1"/>
    <col min="6661" max="6913" width="11.42578125" style="737"/>
    <col min="6914" max="6914" width="58.140625" style="737" bestFit="1" customWidth="1"/>
    <col min="6915" max="6915" width="11.42578125" style="737"/>
    <col min="6916" max="6916" width="13.5703125" style="737" bestFit="1" customWidth="1"/>
    <col min="6917" max="7169" width="11.42578125" style="737"/>
    <col min="7170" max="7170" width="58.140625" style="737" bestFit="1" customWidth="1"/>
    <col min="7171" max="7171" width="11.42578125" style="737"/>
    <col min="7172" max="7172" width="13.5703125" style="737" bestFit="1" customWidth="1"/>
    <col min="7173" max="7425" width="11.42578125" style="737"/>
    <col min="7426" max="7426" width="58.140625" style="737" bestFit="1" customWidth="1"/>
    <col min="7427" max="7427" width="11.42578125" style="737"/>
    <col min="7428" max="7428" width="13.5703125" style="737" bestFit="1" customWidth="1"/>
    <col min="7429" max="7681" width="11.42578125" style="737"/>
    <col min="7682" max="7682" width="58.140625" style="737" bestFit="1" customWidth="1"/>
    <col min="7683" max="7683" width="11.42578125" style="737"/>
    <col min="7684" max="7684" width="13.5703125" style="737" bestFit="1" customWidth="1"/>
    <col min="7685" max="7937" width="11.42578125" style="737"/>
    <col min="7938" max="7938" width="58.140625" style="737" bestFit="1" customWidth="1"/>
    <col min="7939" max="7939" width="11.42578125" style="737"/>
    <col min="7940" max="7940" width="13.5703125" style="737" bestFit="1" customWidth="1"/>
    <col min="7941" max="8193" width="11.42578125" style="737"/>
    <col min="8194" max="8194" width="58.140625" style="737" bestFit="1" customWidth="1"/>
    <col min="8195" max="8195" width="11.42578125" style="737"/>
    <col min="8196" max="8196" width="13.5703125" style="737" bestFit="1" customWidth="1"/>
    <col min="8197" max="8449" width="11.42578125" style="737"/>
    <col min="8450" max="8450" width="58.140625" style="737" bestFit="1" customWidth="1"/>
    <col min="8451" max="8451" width="11.42578125" style="737"/>
    <col min="8452" max="8452" width="13.5703125" style="737" bestFit="1" customWidth="1"/>
    <col min="8453" max="8705" width="11.42578125" style="737"/>
    <col min="8706" max="8706" width="58.140625" style="737" bestFit="1" customWidth="1"/>
    <col min="8707" max="8707" width="11.42578125" style="737"/>
    <col min="8708" max="8708" width="13.5703125" style="737" bestFit="1" customWidth="1"/>
    <col min="8709" max="8961" width="11.42578125" style="737"/>
    <col min="8962" max="8962" width="58.140625" style="737" bestFit="1" customWidth="1"/>
    <col min="8963" max="8963" width="11.42578125" style="737"/>
    <col min="8964" max="8964" width="13.5703125" style="737" bestFit="1" customWidth="1"/>
    <col min="8965" max="9217" width="11.42578125" style="737"/>
    <col min="9218" max="9218" width="58.140625" style="737" bestFit="1" customWidth="1"/>
    <col min="9219" max="9219" width="11.42578125" style="737"/>
    <col min="9220" max="9220" width="13.5703125" style="737" bestFit="1" customWidth="1"/>
    <col min="9221" max="9473" width="11.42578125" style="737"/>
    <col min="9474" max="9474" width="58.140625" style="737" bestFit="1" customWidth="1"/>
    <col min="9475" max="9475" width="11.42578125" style="737"/>
    <col min="9476" max="9476" width="13.5703125" style="737" bestFit="1" customWidth="1"/>
    <col min="9477" max="9729" width="11.42578125" style="737"/>
    <col min="9730" max="9730" width="58.140625" style="737" bestFit="1" customWidth="1"/>
    <col min="9731" max="9731" width="11.42578125" style="737"/>
    <col min="9732" max="9732" width="13.5703125" style="737" bestFit="1" customWidth="1"/>
    <col min="9733" max="9985" width="11.42578125" style="737"/>
    <col min="9986" max="9986" width="58.140625" style="737" bestFit="1" customWidth="1"/>
    <col min="9987" max="9987" width="11.42578125" style="737"/>
    <col min="9988" max="9988" width="13.5703125" style="737" bestFit="1" customWidth="1"/>
    <col min="9989" max="10241" width="11.42578125" style="737"/>
    <col min="10242" max="10242" width="58.140625" style="737" bestFit="1" customWidth="1"/>
    <col min="10243" max="10243" width="11.42578125" style="737"/>
    <col min="10244" max="10244" width="13.5703125" style="737" bestFit="1" customWidth="1"/>
    <col min="10245" max="10497" width="11.42578125" style="737"/>
    <col min="10498" max="10498" width="58.140625" style="737" bestFit="1" customWidth="1"/>
    <col min="10499" max="10499" width="11.42578125" style="737"/>
    <col min="10500" max="10500" width="13.5703125" style="737" bestFit="1" customWidth="1"/>
    <col min="10501" max="10753" width="11.42578125" style="737"/>
    <col min="10754" max="10754" width="58.140625" style="737" bestFit="1" customWidth="1"/>
    <col min="10755" max="10755" width="11.42578125" style="737"/>
    <col min="10756" max="10756" width="13.5703125" style="737" bestFit="1" customWidth="1"/>
    <col min="10757" max="11009" width="11.42578125" style="737"/>
    <col min="11010" max="11010" width="58.140625" style="737" bestFit="1" customWidth="1"/>
    <col min="11011" max="11011" width="11.42578125" style="737"/>
    <col min="11012" max="11012" width="13.5703125" style="737" bestFit="1" customWidth="1"/>
    <col min="11013" max="11265" width="11.42578125" style="737"/>
    <col min="11266" max="11266" width="58.140625" style="737" bestFit="1" customWidth="1"/>
    <col min="11267" max="11267" width="11.42578125" style="737"/>
    <col min="11268" max="11268" width="13.5703125" style="737" bestFit="1" customWidth="1"/>
    <col min="11269" max="11521" width="11.42578125" style="737"/>
    <col min="11522" max="11522" width="58.140625" style="737" bestFit="1" customWidth="1"/>
    <col min="11523" max="11523" width="11.42578125" style="737"/>
    <col min="11524" max="11524" width="13.5703125" style="737" bestFit="1" customWidth="1"/>
    <col min="11525" max="11777" width="11.42578125" style="737"/>
    <col min="11778" max="11778" width="58.140625" style="737" bestFit="1" customWidth="1"/>
    <col min="11779" max="11779" width="11.42578125" style="737"/>
    <col min="11780" max="11780" width="13.5703125" style="737" bestFit="1" customWidth="1"/>
    <col min="11781" max="12033" width="11.42578125" style="737"/>
    <col min="12034" max="12034" width="58.140625" style="737" bestFit="1" customWidth="1"/>
    <col min="12035" max="12035" width="11.42578125" style="737"/>
    <col min="12036" max="12036" width="13.5703125" style="737" bestFit="1" customWidth="1"/>
    <col min="12037" max="12289" width="11.42578125" style="737"/>
    <col min="12290" max="12290" width="58.140625" style="737" bestFit="1" customWidth="1"/>
    <col min="12291" max="12291" width="11.42578125" style="737"/>
    <col min="12292" max="12292" width="13.5703125" style="737" bestFit="1" customWidth="1"/>
    <col min="12293" max="12545" width="11.42578125" style="737"/>
    <col min="12546" max="12546" width="58.140625" style="737" bestFit="1" customWidth="1"/>
    <col min="12547" max="12547" width="11.42578125" style="737"/>
    <col min="12548" max="12548" width="13.5703125" style="737" bestFit="1" customWidth="1"/>
    <col min="12549" max="12801" width="11.42578125" style="737"/>
    <col min="12802" max="12802" width="58.140625" style="737" bestFit="1" customWidth="1"/>
    <col min="12803" max="12803" width="11.42578125" style="737"/>
    <col min="12804" max="12804" width="13.5703125" style="737" bestFit="1" customWidth="1"/>
    <col min="12805" max="13057" width="11.42578125" style="737"/>
    <col min="13058" max="13058" width="58.140625" style="737" bestFit="1" customWidth="1"/>
    <col min="13059" max="13059" width="11.42578125" style="737"/>
    <col min="13060" max="13060" width="13.5703125" style="737" bestFit="1" customWidth="1"/>
    <col min="13061" max="13313" width="11.42578125" style="737"/>
    <col min="13314" max="13314" width="58.140625" style="737" bestFit="1" customWidth="1"/>
    <col min="13315" max="13315" width="11.42578125" style="737"/>
    <col min="13316" max="13316" width="13.5703125" style="737" bestFit="1" customWidth="1"/>
    <col min="13317" max="13569" width="11.42578125" style="737"/>
    <col min="13570" max="13570" width="58.140625" style="737" bestFit="1" customWidth="1"/>
    <col min="13571" max="13571" width="11.42578125" style="737"/>
    <col min="13572" max="13572" width="13.5703125" style="737" bestFit="1" customWidth="1"/>
    <col min="13573" max="13825" width="11.42578125" style="737"/>
    <col min="13826" max="13826" width="58.140625" style="737" bestFit="1" customWidth="1"/>
    <col min="13827" max="13827" width="11.42578125" style="737"/>
    <col min="13828" max="13828" width="13.5703125" style="737" bestFit="1" customWidth="1"/>
    <col min="13829" max="14081" width="11.42578125" style="737"/>
    <col min="14082" max="14082" width="58.140625" style="737" bestFit="1" customWidth="1"/>
    <col min="14083" max="14083" width="11.42578125" style="737"/>
    <col min="14084" max="14084" width="13.5703125" style="737" bestFit="1" customWidth="1"/>
    <col min="14085" max="14337" width="11.42578125" style="737"/>
    <col min="14338" max="14338" width="58.140625" style="737" bestFit="1" customWidth="1"/>
    <col min="14339" max="14339" width="11.42578125" style="737"/>
    <col min="14340" max="14340" width="13.5703125" style="737" bestFit="1" customWidth="1"/>
    <col min="14341" max="14593" width="11.42578125" style="737"/>
    <col min="14594" max="14594" width="58.140625" style="737" bestFit="1" customWidth="1"/>
    <col min="14595" max="14595" width="11.42578125" style="737"/>
    <col min="14596" max="14596" width="13.5703125" style="737" bestFit="1" customWidth="1"/>
    <col min="14597" max="14849" width="11.42578125" style="737"/>
    <col min="14850" max="14850" width="58.140625" style="737" bestFit="1" customWidth="1"/>
    <col min="14851" max="14851" width="11.42578125" style="737"/>
    <col min="14852" max="14852" width="13.5703125" style="737" bestFit="1" customWidth="1"/>
    <col min="14853" max="15105" width="11.42578125" style="737"/>
    <col min="15106" max="15106" width="58.140625" style="737" bestFit="1" customWidth="1"/>
    <col min="15107" max="15107" width="11.42578125" style="737"/>
    <col min="15108" max="15108" width="13.5703125" style="737" bestFit="1" customWidth="1"/>
    <col min="15109" max="15361" width="11.42578125" style="737"/>
    <col min="15362" max="15362" width="58.140625" style="737" bestFit="1" customWidth="1"/>
    <col min="15363" max="15363" width="11.42578125" style="737"/>
    <col min="15364" max="15364" width="13.5703125" style="737" bestFit="1" customWidth="1"/>
    <col min="15365" max="15617" width="11.42578125" style="737"/>
    <col min="15618" max="15618" width="58.140625" style="737" bestFit="1" customWidth="1"/>
    <col min="15619" max="15619" width="11.42578125" style="737"/>
    <col min="15620" max="15620" width="13.5703125" style="737" bestFit="1" customWidth="1"/>
    <col min="15621" max="15873" width="11.42578125" style="737"/>
    <col min="15874" max="15874" width="58.140625" style="737" bestFit="1" customWidth="1"/>
    <col min="15875" max="15875" width="11.42578125" style="737"/>
    <col min="15876" max="15876" width="13.5703125" style="737" bestFit="1" customWidth="1"/>
    <col min="15877" max="16129" width="11.42578125" style="737"/>
    <col min="16130" max="16130" width="58.140625" style="737" bestFit="1" customWidth="1"/>
    <col min="16131" max="16131" width="11.42578125" style="737"/>
    <col min="16132" max="16132" width="13.5703125" style="737" bestFit="1" customWidth="1"/>
    <col min="16133" max="16384" width="11.42578125" style="737"/>
  </cols>
  <sheetData>
    <row r="1" spans="1:6" ht="36.75" customHeight="1">
      <c r="A1" s="1817" t="s">
        <v>1565</v>
      </c>
      <c r="B1" s="1817"/>
      <c r="C1" s="1817"/>
    </row>
    <row r="3" spans="1:6">
      <c r="A3" s="922"/>
      <c r="B3" s="921" t="s">
        <v>1564</v>
      </c>
      <c r="C3" s="921" t="s">
        <v>1563</v>
      </c>
      <c r="D3" s="920">
        <f>SUM(D4:D7)</f>
        <v>921.92</v>
      </c>
    </row>
    <row r="4" spans="1:6">
      <c r="A4" s="929"/>
      <c r="B4" s="913" t="s">
        <v>1562</v>
      </c>
      <c r="C4" s="913">
        <v>70</v>
      </c>
      <c r="D4" s="912">
        <f>'Gr liv ACT-PAS'!M182</f>
        <v>921.92</v>
      </c>
      <c r="E4" s="1818" t="s">
        <v>1561</v>
      </c>
      <c r="F4" s="1624"/>
    </row>
    <row r="5" spans="1:6" ht="30.75">
      <c r="A5" s="929"/>
      <c r="B5" s="913" t="s">
        <v>1560</v>
      </c>
      <c r="C5" s="913">
        <v>71</v>
      </c>
      <c r="D5" s="912"/>
    </row>
    <row r="6" spans="1:6">
      <c r="A6" s="929"/>
      <c r="B6" s="913" t="s">
        <v>1559</v>
      </c>
      <c r="C6" s="913">
        <v>72</v>
      </c>
      <c r="D6" s="912"/>
    </row>
    <row r="7" spans="1:6">
      <c r="A7" s="929"/>
      <c r="B7" s="913" t="s">
        <v>1558</v>
      </c>
      <c r="C7" s="913">
        <v>74</v>
      </c>
      <c r="D7" s="912"/>
    </row>
    <row r="8" spans="1:6">
      <c r="A8" s="929"/>
      <c r="B8" s="913"/>
      <c r="C8" s="913"/>
      <c r="D8" s="912"/>
    </row>
    <row r="9" spans="1:6">
      <c r="A9" s="919" t="s">
        <v>1512</v>
      </c>
      <c r="B9" s="918" t="s">
        <v>1557</v>
      </c>
      <c r="C9" s="918" t="s">
        <v>1556</v>
      </c>
      <c r="D9" s="917">
        <f>SUM(D10:D19)</f>
        <v>1395.67</v>
      </c>
      <c r="E9" s="1615"/>
      <c r="F9" s="1624"/>
    </row>
    <row r="10" spans="1:6">
      <c r="A10" s="929"/>
      <c r="B10" s="913" t="s">
        <v>1555</v>
      </c>
      <c r="C10" s="913">
        <v>60</v>
      </c>
      <c r="D10" s="912">
        <f>'Gr liv ACT-PAS'!B182</f>
        <v>1395.67</v>
      </c>
      <c r="E10" s="1818" t="s">
        <v>1554</v>
      </c>
      <c r="F10" s="1624"/>
    </row>
    <row r="11" spans="1:6">
      <c r="A11" s="929"/>
      <c r="B11" s="913" t="s">
        <v>1553</v>
      </c>
      <c r="C11" s="913" t="s">
        <v>1552</v>
      </c>
      <c r="D11" s="912"/>
    </row>
    <row r="12" spans="1:6">
      <c r="A12" s="929"/>
      <c r="B12" s="913" t="s">
        <v>1551</v>
      </c>
      <c r="C12" s="913">
        <v>609</v>
      </c>
      <c r="D12" s="912"/>
    </row>
    <row r="13" spans="1:6">
      <c r="A13" s="929"/>
      <c r="B13" s="913" t="s">
        <v>1550</v>
      </c>
      <c r="C13" s="913">
        <v>61</v>
      </c>
      <c r="D13" s="912"/>
    </row>
    <row r="14" spans="1:6">
      <c r="A14" s="929"/>
      <c r="B14" s="913" t="s">
        <v>1549</v>
      </c>
      <c r="C14" s="913">
        <v>62</v>
      </c>
      <c r="D14" s="912"/>
    </row>
    <row r="15" spans="1:6" ht="30.75">
      <c r="A15" s="929"/>
      <c r="B15" s="913" t="s">
        <v>1548</v>
      </c>
      <c r="C15" s="913">
        <v>630</v>
      </c>
      <c r="D15" s="912"/>
    </row>
    <row r="16" spans="1:6" ht="27">
      <c r="A16" s="929"/>
      <c r="B16" s="913" t="s">
        <v>1547</v>
      </c>
      <c r="C16" s="913" t="s">
        <v>1546</v>
      </c>
      <c r="D16" s="912"/>
    </row>
    <row r="17" spans="1:4" ht="30.75">
      <c r="A17" s="929"/>
      <c r="B17" s="913" t="s">
        <v>1545</v>
      </c>
      <c r="C17" s="913" t="s">
        <v>1544</v>
      </c>
      <c r="D17" s="912"/>
    </row>
    <row r="18" spans="1:4">
      <c r="A18" s="929"/>
      <c r="B18" s="913" t="s">
        <v>1543</v>
      </c>
      <c r="C18" s="913" t="s">
        <v>1542</v>
      </c>
      <c r="D18" s="912"/>
    </row>
    <row r="19" spans="1:4" ht="30.75">
      <c r="A19" s="929"/>
      <c r="B19" s="913" t="s">
        <v>1541</v>
      </c>
      <c r="C19" s="913" t="s">
        <v>1540</v>
      </c>
      <c r="D19" s="912"/>
    </row>
    <row r="20" spans="1:4" ht="19.5" thickBot="1">
      <c r="A20" s="929"/>
      <c r="B20" s="913"/>
      <c r="C20" s="913"/>
      <c r="D20" s="912"/>
    </row>
    <row r="21" spans="1:4" ht="21" thickTop="1" thickBot="1">
      <c r="A21" s="931" t="s">
        <v>60</v>
      </c>
      <c r="B21" s="930" t="s">
        <v>1539</v>
      </c>
      <c r="C21" s="930" t="s">
        <v>1538</v>
      </c>
      <c r="D21" s="923">
        <f>IF(D3&gt;D9,D3-D9,0)</f>
        <v>0</v>
      </c>
    </row>
    <row r="22" spans="1:4" ht="21" thickTop="1" thickBot="1">
      <c r="A22" s="931" t="s">
        <v>1499</v>
      </c>
      <c r="B22" s="930" t="s">
        <v>1537</v>
      </c>
      <c r="C22" s="930" t="s">
        <v>1536</v>
      </c>
      <c r="D22" s="923">
        <f>IF(D9&gt;D3,D3-D9,0)</f>
        <v>-473.75000000000011</v>
      </c>
    </row>
    <row r="23" spans="1:4" ht="19.5" thickTop="1">
      <c r="A23" s="929"/>
      <c r="B23" s="913"/>
      <c r="C23" s="913"/>
      <c r="D23" s="912"/>
    </row>
    <row r="24" spans="1:4">
      <c r="A24" s="922" t="s">
        <v>1520</v>
      </c>
      <c r="B24" s="921" t="s">
        <v>1535</v>
      </c>
      <c r="C24" s="921">
        <v>75</v>
      </c>
      <c r="D24" s="920">
        <f>SUM(D25:D27)</f>
        <v>0</v>
      </c>
    </row>
    <row r="25" spans="1:4">
      <c r="A25" s="929"/>
      <c r="B25" s="913" t="s">
        <v>1534</v>
      </c>
      <c r="C25" s="913">
        <v>750</v>
      </c>
      <c r="D25" s="912"/>
    </row>
    <row r="26" spans="1:4">
      <c r="A26" s="929"/>
      <c r="B26" s="913" t="s">
        <v>1533</v>
      </c>
      <c r="C26" s="913">
        <v>751</v>
      </c>
      <c r="D26" s="912"/>
    </row>
    <row r="27" spans="1:4">
      <c r="A27" s="929"/>
      <c r="B27" s="913" t="s">
        <v>1532</v>
      </c>
      <c r="C27" s="913" t="s">
        <v>1531</v>
      </c>
      <c r="D27" s="912"/>
    </row>
    <row r="28" spans="1:4">
      <c r="A28" s="929"/>
      <c r="B28" s="913"/>
      <c r="C28" s="913"/>
      <c r="D28" s="912"/>
    </row>
    <row r="29" spans="1:4">
      <c r="A29" s="919" t="s">
        <v>1512</v>
      </c>
      <c r="B29" s="918" t="s">
        <v>1530</v>
      </c>
      <c r="C29" s="918" t="s">
        <v>1529</v>
      </c>
      <c r="D29" s="917">
        <f>SUM(D30:D32)</f>
        <v>0</v>
      </c>
    </row>
    <row r="30" spans="1:4">
      <c r="A30" s="929"/>
      <c r="B30" s="913" t="s">
        <v>1528</v>
      </c>
      <c r="C30" s="913">
        <v>650</v>
      </c>
      <c r="D30" s="912"/>
    </row>
    <row r="31" spans="1:4" ht="27">
      <c r="A31" s="929"/>
      <c r="B31" s="913" t="s">
        <v>1527</v>
      </c>
      <c r="C31" s="913">
        <v>651</v>
      </c>
      <c r="D31" s="912"/>
    </row>
    <row r="32" spans="1:4">
      <c r="A32" s="928"/>
      <c r="B32" s="913" t="s">
        <v>1526</v>
      </c>
      <c r="C32" s="913" t="s">
        <v>1525</v>
      </c>
      <c r="D32" s="912"/>
    </row>
    <row r="33" spans="1:4" ht="19.5" thickBot="1">
      <c r="A33" s="809"/>
      <c r="B33" s="927"/>
      <c r="C33" s="927"/>
      <c r="D33" s="926"/>
    </row>
    <row r="34" spans="1:4" ht="21" thickTop="1" thickBot="1">
      <c r="A34" s="925" t="s">
        <v>60</v>
      </c>
      <c r="B34" s="924" t="s">
        <v>1524</v>
      </c>
      <c r="C34" s="924" t="s">
        <v>1523</v>
      </c>
      <c r="D34" s="923">
        <f>IF(D21+D22+D24-D29&gt;0,D21+D22+D24-D29,0)</f>
        <v>0</v>
      </c>
    </row>
    <row r="35" spans="1:4" ht="21" thickTop="1" thickBot="1">
      <c r="A35" s="925" t="s">
        <v>1499</v>
      </c>
      <c r="B35" s="924" t="s">
        <v>1522</v>
      </c>
      <c r="C35" s="924" t="s">
        <v>1521</v>
      </c>
      <c r="D35" s="923">
        <f>IF(D21+D22+D24-D29&lt;0,D21+D22+D24-D29,0)</f>
        <v>-473.75000000000011</v>
      </c>
    </row>
    <row r="36" spans="1:4" ht="19.5" thickTop="1">
      <c r="B36" s="913"/>
      <c r="C36" s="913"/>
      <c r="D36" s="912"/>
    </row>
    <row r="37" spans="1:4">
      <c r="A37" s="922" t="s">
        <v>1520</v>
      </c>
      <c r="B37" s="921" t="s">
        <v>1519</v>
      </c>
      <c r="C37" s="921">
        <v>76</v>
      </c>
      <c r="D37" s="920">
        <f>SUM(D38:D43)</f>
        <v>0</v>
      </c>
    </row>
    <row r="38" spans="1:4" ht="30.75">
      <c r="B38" s="913" t="s">
        <v>1518</v>
      </c>
      <c r="C38" s="913">
        <v>760</v>
      </c>
      <c r="D38" s="912"/>
    </row>
    <row r="39" spans="1:4" ht="19.7" customHeight="1">
      <c r="B39" s="913" t="s">
        <v>1517</v>
      </c>
      <c r="C39" s="913">
        <v>761</v>
      </c>
      <c r="D39" s="912"/>
    </row>
    <row r="40" spans="1:4" ht="19.7" customHeight="1">
      <c r="B40" s="913" t="s">
        <v>1516</v>
      </c>
      <c r="C40" s="913">
        <v>762</v>
      </c>
      <c r="D40" s="912"/>
    </row>
    <row r="41" spans="1:4" ht="19.7" customHeight="1">
      <c r="B41" s="913" t="s">
        <v>1515</v>
      </c>
      <c r="C41" s="913">
        <v>763</v>
      </c>
      <c r="D41" s="912"/>
    </row>
    <row r="42" spans="1:4" ht="19.7" customHeight="1">
      <c r="B42" s="913" t="s">
        <v>1514</v>
      </c>
      <c r="C42" s="913" t="s">
        <v>1513</v>
      </c>
      <c r="D42" s="912"/>
    </row>
    <row r="43" spans="1:4" ht="19.7" customHeight="1">
      <c r="B43" s="913"/>
      <c r="C43" s="913"/>
      <c r="D43" s="912"/>
    </row>
    <row r="44" spans="1:4" ht="19.7" customHeight="1">
      <c r="A44" s="919" t="s">
        <v>1512</v>
      </c>
      <c r="B44" s="918" t="s">
        <v>1511</v>
      </c>
      <c r="C44" s="918" t="s">
        <v>1510</v>
      </c>
      <c r="D44" s="917">
        <f>SUM(D45:D50)</f>
        <v>0</v>
      </c>
    </row>
    <row r="45" spans="1:4" ht="19.7" customHeight="1">
      <c r="B45" s="913" t="s">
        <v>1509</v>
      </c>
      <c r="C45" s="913">
        <v>660</v>
      </c>
      <c r="D45" s="912"/>
    </row>
    <row r="46" spans="1:4" ht="19.7" customHeight="1">
      <c r="B46" s="913" t="s">
        <v>1508</v>
      </c>
      <c r="C46" s="913">
        <v>661</v>
      </c>
      <c r="D46" s="912"/>
    </row>
    <row r="47" spans="1:4" ht="19.7" customHeight="1">
      <c r="B47" s="913" t="s">
        <v>1507</v>
      </c>
      <c r="C47" s="913">
        <v>662</v>
      </c>
      <c r="D47" s="912"/>
    </row>
    <row r="48" spans="1:4" ht="19.7" customHeight="1">
      <c r="B48" s="913" t="s">
        <v>1506</v>
      </c>
      <c r="C48" s="913">
        <v>663</v>
      </c>
      <c r="D48" s="912"/>
    </row>
    <row r="49" spans="1:4" ht="19.7" customHeight="1">
      <c r="B49" s="913" t="s">
        <v>1505</v>
      </c>
      <c r="C49" s="913" t="s">
        <v>1504</v>
      </c>
      <c r="D49" s="912"/>
    </row>
    <row r="50" spans="1:4" ht="19.7" customHeight="1">
      <c r="B50" s="913" t="s">
        <v>1503</v>
      </c>
      <c r="C50" s="913" t="s">
        <v>1502</v>
      </c>
      <c r="D50" s="912"/>
    </row>
    <row r="51" spans="1:4" ht="19.7" customHeight="1" thickBot="1">
      <c r="B51" s="913"/>
      <c r="C51" s="913"/>
      <c r="D51" s="912"/>
    </row>
    <row r="52" spans="1:4" ht="19.7" customHeight="1" thickTop="1" thickBot="1">
      <c r="A52" s="916" t="s">
        <v>60</v>
      </c>
      <c r="B52" s="915" t="s">
        <v>1501</v>
      </c>
      <c r="C52" s="915" t="s">
        <v>1500</v>
      </c>
      <c r="D52" s="914">
        <f>IF(D34+D35+D37-D44&gt;0,D34+D35+D37-D44,0)</f>
        <v>0</v>
      </c>
    </row>
    <row r="53" spans="1:4" ht="19.7" customHeight="1" thickTop="1" thickBot="1">
      <c r="A53" s="916" t="s">
        <v>1499</v>
      </c>
      <c r="B53" s="915" t="s">
        <v>1498</v>
      </c>
      <c r="C53" s="915" t="s">
        <v>1497</v>
      </c>
      <c r="D53" s="914">
        <f>IF(D34+D35+D37-D44&lt;0,D34+D35+D37-D44,0)</f>
        <v>-473.75000000000011</v>
      </c>
    </row>
    <row r="54" spans="1:4" ht="19.5" thickTop="1">
      <c r="B54" s="913"/>
      <c r="C54" s="913"/>
      <c r="D54" s="912"/>
    </row>
  </sheetData>
  <mergeCells count="4">
    <mergeCell ref="A1:C1"/>
    <mergeCell ref="E4:F4"/>
    <mergeCell ref="E9:F9"/>
    <mergeCell ref="E10:F10"/>
  </mergeCells>
  <pageMargins left="0.7" right="0.7" top="0.75" bottom="0.75" header="0.3" footer="0.3"/>
  <pageSetup paperSize="9" scale="74" fitToHeight="0" orientation="portrait" r:id="rId1"/>
  <headerFooter>
    <oddHeader>&amp;LDernoncourt
jordan&amp;CSI noel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5"/>
  <sheetViews>
    <sheetView showWhiteSpace="0" view="pageLayout" topLeftCell="A88" workbookViewId="0">
      <selection activeCell="J67" sqref="J67"/>
    </sheetView>
  </sheetViews>
  <sheetFormatPr baseColWidth="10" defaultRowHeight="15"/>
  <cols>
    <col min="1" max="2" width="11.42578125" style="737" customWidth="1"/>
    <col min="3" max="4" width="11.42578125" style="737"/>
    <col min="5" max="5" width="11.7109375" style="737" bestFit="1" customWidth="1"/>
    <col min="6" max="6" width="7.7109375" style="737" customWidth="1"/>
    <col min="7" max="7" width="11.5703125" style="737" customWidth="1"/>
    <col min="8" max="8" width="13.85546875" style="737" customWidth="1"/>
    <col min="9" max="9" width="11.42578125" style="737" customWidth="1"/>
    <col min="10" max="16384" width="11.42578125" style="737"/>
  </cols>
  <sheetData>
    <row r="1" spans="1:10" ht="16.5" thickBot="1">
      <c r="A1" s="1827" t="s">
        <v>1710</v>
      </c>
      <c r="B1" s="1828"/>
      <c r="C1" s="1828"/>
      <c r="D1" s="232"/>
      <c r="E1" s="232"/>
      <c r="F1" s="1286" t="s">
        <v>1649</v>
      </c>
      <c r="G1" s="1284" t="s">
        <v>1812</v>
      </c>
      <c r="H1" s="1285" t="s">
        <v>1647</v>
      </c>
    </row>
    <row r="2" spans="1:10">
      <c r="A2" s="1058" t="s">
        <v>1709</v>
      </c>
      <c r="B2" s="1057"/>
      <c r="C2" s="1057"/>
      <c r="D2" s="1057"/>
      <c r="E2" s="1056"/>
      <c r="F2" s="1055"/>
      <c r="G2" s="1028"/>
      <c r="H2" s="1027"/>
    </row>
    <row r="3" spans="1:10" ht="15.75">
      <c r="A3" s="1829" t="s">
        <v>1708</v>
      </c>
      <c r="B3" s="1830"/>
      <c r="C3" s="1835" t="s">
        <v>1707</v>
      </c>
      <c r="D3" s="1836"/>
      <c r="E3" s="1837"/>
      <c r="F3" s="1054" t="s">
        <v>1706</v>
      </c>
      <c r="G3" s="1053">
        <f>SUM(G5+G6+G7+G15)</f>
        <v>0</v>
      </c>
      <c r="H3" s="1052">
        <f>SUM(H5+H6+H7+H15)</f>
        <v>6197.34</v>
      </c>
    </row>
    <row r="4" spans="1:10">
      <c r="A4" s="1031"/>
      <c r="B4" s="232"/>
      <c r="C4" s="232"/>
      <c r="D4" s="232"/>
      <c r="E4" s="232"/>
      <c r="F4" s="1051"/>
      <c r="G4" s="221"/>
      <c r="H4" s="1016"/>
    </row>
    <row r="5" spans="1:10">
      <c r="A5" s="1050" t="s">
        <v>1705</v>
      </c>
      <c r="B5" s="1044"/>
      <c r="C5" s="1044"/>
      <c r="D5" s="232"/>
      <c r="E5" s="232"/>
      <c r="F5" s="1032">
        <v>20</v>
      </c>
      <c r="G5" s="221"/>
      <c r="H5" s="1508"/>
    </row>
    <row r="6" spans="1:10">
      <c r="A6" s="1050" t="s">
        <v>1704</v>
      </c>
      <c r="B6" s="1044"/>
      <c r="C6" s="1044"/>
      <c r="D6" s="232"/>
      <c r="E6" s="232"/>
      <c r="F6" s="1032">
        <v>21</v>
      </c>
      <c r="G6" s="221"/>
      <c r="H6" s="1508"/>
    </row>
    <row r="7" spans="1:10">
      <c r="A7" s="1049" t="s">
        <v>1703</v>
      </c>
      <c r="B7" s="1048"/>
      <c r="C7" s="1048"/>
      <c r="D7" s="1047"/>
      <c r="E7" s="1047"/>
      <c r="F7" s="1046" t="s">
        <v>1702</v>
      </c>
      <c r="G7" s="985">
        <f>SUM(G8:G14)</f>
        <v>0</v>
      </c>
      <c r="H7" s="1510">
        <f>SUM(H8:H14)</f>
        <v>6197.34</v>
      </c>
    </row>
    <row r="8" spans="1:10">
      <c r="A8" s="1033" t="s">
        <v>1605</v>
      </c>
      <c r="B8" s="1831" t="s">
        <v>1701</v>
      </c>
      <c r="C8" s="1831"/>
      <c r="D8" s="232"/>
      <c r="E8" s="232"/>
      <c r="F8" s="1032">
        <v>22</v>
      </c>
      <c r="G8" s="221"/>
      <c r="H8" s="1016"/>
    </row>
    <row r="9" spans="1:10">
      <c r="A9" s="1033" t="s">
        <v>1603</v>
      </c>
      <c r="B9" s="1832" t="s">
        <v>1700</v>
      </c>
      <c r="C9" s="1832"/>
      <c r="D9" s="1832"/>
      <c r="E9" s="990" t="s">
        <v>500</v>
      </c>
      <c r="F9" s="1032">
        <v>23</v>
      </c>
      <c r="G9" s="1038"/>
      <c r="H9" s="1022">
        <f>'Bal des comptes'!$E$9</f>
        <v>3470.51</v>
      </c>
      <c r="I9" s="253"/>
    </row>
    <row r="10" spans="1:10">
      <c r="A10" s="1033"/>
      <c r="B10" s="1035"/>
      <c r="C10" s="1035"/>
      <c r="D10" s="1035"/>
      <c r="E10" s="990"/>
      <c r="F10" s="1032"/>
      <c r="G10" s="1038"/>
      <c r="H10" s="1022">
        <f>SUM('Bal des comptes'!C10)</f>
        <v>743.68</v>
      </c>
      <c r="I10" s="1045"/>
    </row>
    <row r="11" spans="1:10">
      <c r="A11" s="1033" t="s">
        <v>1598</v>
      </c>
      <c r="B11" s="1832" t="s">
        <v>1699</v>
      </c>
      <c r="C11" s="1832"/>
      <c r="D11" s="1832"/>
      <c r="E11" s="990" t="s">
        <v>500</v>
      </c>
      <c r="F11" s="1032">
        <v>24</v>
      </c>
      <c r="G11" s="1038"/>
      <c r="H11" s="1022">
        <f>'Bal des comptes'!$E$11</f>
        <v>1983.15</v>
      </c>
      <c r="I11" s="1045"/>
      <c r="J11" s="253"/>
    </row>
    <row r="12" spans="1:10">
      <c r="A12" s="1033" t="s">
        <v>1594</v>
      </c>
      <c r="B12" s="1044" t="s">
        <v>1698</v>
      </c>
      <c r="C12" s="1044"/>
      <c r="D12" s="1044"/>
      <c r="E12" s="232"/>
      <c r="F12" s="1032">
        <v>25</v>
      </c>
      <c r="G12" s="221"/>
      <c r="H12" s="1016"/>
    </row>
    <row r="13" spans="1:10">
      <c r="A13" s="1033" t="s">
        <v>1592</v>
      </c>
      <c r="B13" s="1832" t="s">
        <v>1697</v>
      </c>
      <c r="C13" s="1832"/>
      <c r="D13" s="1832"/>
      <c r="E13" s="232"/>
      <c r="F13" s="1032">
        <v>26</v>
      </c>
      <c r="G13" s="221"/>
      <c r="H13" s="1016"/>
    </row>
    <row r="14" spans="1:10">
      <c r="A14" s="1043" t="s">
        <v>1584</v>
      </c>
      <c r="B14" s="1843" t="s">
        <v>1696</v>
      </c>
      <c r="C14" s="1843"/>
      <c r="D14" s="1843"/>
      <c r="E14" s="1843"/>
      <c r="F14" s="1042">
        <v>27</v>
      </c>
      <c r="G14" s="1028"/>
      <c r="H14" s="1027"/>
    </row>
    <row r="15" spans="1:10" ht="15.75" thickBot="1">
      <c r="A15" s="1844" t="s">
        <v>1695</v>
      </c>
      <c r="B15" s="1832"/>
      <c r="C15" s="1832"/>
      <c r="D15" s="1832"/>
      <c r="E15" s="232"/>
      <c r="F15" s="1032">
        <v>28</v>
      </c>
      <c r="G15" s="1041">
        <f>SUM(G22+G19+G16)</f>
        <v>0</v>
      </c>
      <c r="H15" s="1509">
        <f>SUM(H22+H19+H16)</f>
        <v>0</v>
      </c>
    </row>
    <row r="16" spans="1:10">
      <c r="A16" s="1040" t="s">
        <v>1605</v>
      </c>
      <c r="B16" s="1832" t="s">
        <v>1694</v>
      </c>
      <c r="C16" s="1832"/>
      <c r="D16" s="232"/>
      <c r="E16" s="232"/>
      <c r="F16" s="1039" t="s">
        <v>1693</v>
      </c>
      <c r="G16" s="1511">
        <f>SUM(G17:G18)</f>
        <v>0</v>
      </c>
      <c r="H16" s="1532">
        <f>SUM(H17:H18)</f>
        <v>0</v>
      </c>
    </row>
    <row r="17" spans="1:9">
      <c r="A17" s="1031"/>
      <c r="B17" s="1034" t="s">
        <v>1590</v>
      </c>
      <c r="C17" s="1832" t="s">
        <v>1689</v>
      </c>
      <c r="D17" s="1832"/>
      <c r="E17" s="232"/>
      <c r="F17" s="1032">
        <v>280</v>
      </c>
      <c r="G17" s="177"/>
      <c r="H17" s="1512"/>
    </row>
    <row r="18" spans="1:9" s="933" customFormat="1" ht="21" customHeight="1" thickBot="1">
      <c r="A18" s="1031"/>
      <c r="B18" s="1034" t="s">
        <v>1587</v>
      </c>
      <c r="C18" s="232" t="s">
        <v>1688</v>
      </c>
      <c r="F18" s="1032"/>
      <c r="G18" s="260"/>
      <c r="H18" s="1513"/>
      <c r="I18" s="1037"/>
    </row>
    <row r="19" spans="1:9">
      <c r="A19" s="1036" t="s">
        <v>1603</v>
      </c>
      <c r="B19" s="1848" t="s">
        <v>1691</v>
      </c>
      <c r="C19" s="1848"/>
      <c r="D19" s="1848"/>
      <c r="E19" s="1035"/>
      <c r="F19" s="1032" t="s">
        <v>1690</v>
      </c>
      <c r="G19" s="1511">
        <f>SUM(G20:G21)</f>
        <v>0</v>
      </c>
      <c r="H19" s="1515">
        <f>SUM(H20:H21)</f>
        <v>0</v>
      </c>
    </row>
    <row r="20" spans="1:9">
      <c r="A20" s="1031"/>
      <c r="B20" s="1034" t="s">
        <v>1590</v>
      </c>
      <c r="C20" s="1832" t="s">
        <v>1689</v>
      </c>
      <c r="D20" s="1832"/>
      <c r="E20" s="232"/>
      <c r="F20" s="1032">
        <v>282</v>
      </c>
      <c r="G20" s="177"/>
      <c r="H20" s="1514"/>
    </row>
    <row r="21" spans="1:9" ht="15.75" thickBot="1">
      <c r="A21" s="1031"/>
      <c r="B21" s="1034" t="s">
        <v>1587</v>
      </c>
      <c r="C21" s="232" t="s">
        <v>1688</v>
      </c>
      <c r="D21" s="1841"/>
      <c r="E21" s="1842"/>
      <c r="F21" s="1032">
        <v>283</v>
      </c>
      <c r="G21" s="177"/>
      <c r="H21" s="1516"/>
    </row>
    <row r="22" spans="1:9">
      <c r="A22" s="1033" t="s">
        <v>1598</v>
      </c>
      <c r="B22" s="1831" t="s">
        <v>1687</v>
      </c>
      <c r="C22" s="1831"/>
      <c r="D22" s="1831"/>
      <c r="E22" s="232"/>
      <c r="F22" s="1032" t="s">
        <v>1686</v>
      </c>
      <c r="G22" s="1511">
        <f>SUM(G23:G24)</f>
        <v>0</v>
      </c>
      <c r="H22" s="1517">
        <f>SUM(H23:H24)</f>
        <v>0</v>
      </c>
    </row>
    <row r="23" spans="1:9">
      <c r="A23" s="1031"/>
      <c r="B23" s="1030" t="s">
        <v>1590</v>
      </c>
      <c r="C23" s="1832" t="s">
        <v>1685</v>
      </c>
      <c r="D23" s="1832"/>
      <c r="E23" s="232"/>
      <c r="F23" s="1032">
        <v>284</v>
      </c>
      <c r="G23" s="177"/>
      <c r="H23" s="1518"/>
    </row>
    <row r="24" spans="1:9" ht="15.75" thickBot="1">
      <c r="A24" s="1520"/>
      <c r="B24" s="1521" t="s">
        <v>1587</v>
      </c>
      <c r="C24" s="1847" t="s">
        <v>1684</v>
      </c>
      <c r="D24" s="1847"/>
      <c r="E24" s="1847"/>
      <c r="F24" s="1522" t="s">
        <v>1683</v>
      </c>
      <c r="G24" s="193"/>
      <c r="H24" s="1523"/>
    </row>
    <row r="25" spans="1:9" ht="16.5" thickTop="1">
      <c r="A25" s="1827" t="s">
        <v>1682</v>
      </c>
      <c r="B25" s="1828"/>
      <c r="C25" s="1616" t="s">
        <v>1681</v>
      </c>
      <c r="D25" s="1616"/>
      <c r="E25" s="1846"/>
      <c r="F25" s="1017" t="s">
        <v>1680</v>
      </c>
      <c r="G25" s="1519">
        <f>SUM(G27+G30+G39+G42+G45)</f>
        <v>4338.1400000000003</v>
      </c>
      <c r="H25" s="1537">
        <f>SUM(H27,H30,H39,H42,H45,H49)</f>
        <v>18767.1054</v>
      </c>
    </row>
    <row r="26" spans="1:9" ht="15.75" thickBot="1">
      <c r="A26" s="3"/>
      <c r="B26" s="4"/>
      <c r="C26" s="4"/>
      <c r="D26" s="4"/>
      <c r="E26" s="4"/>
      <c r="F26" s="1017"/>
      <c r="G26" s="221"/>
      <c r="H26" s="1016"/>
    </row>
    <row r="27" spans="1:9">
      <c r="A27" s="1823" t="s">
        <v>1679</v>
      </c>
      <c r="B27" s="1824"/>
      <c r="C27" s="1824"/>
      <c r="D27" s="2"/>
      <c r="E27" s="2"/>
      <c r="F27" s="1021">
        <v>29</v>
      </c>
      <c r="G27" s="985">
        <f>SUM(G28:G29)</f>
        <v>0</v>
      </c>
      <c r="H27" s="1529">
        <f>SUM(H28:H29)</f>
        <v>0</v>
      </c>
    </row>
    <row r="28" spans="1:9">
      <c r="A28" s="978" t="s">
        <v>1605</v>
      </c>
      <c r="B28" s="1626" t="s">
        <v>1666</v>
      </c>
      <c r="C28" s="1626"/>
      <c r="D28" s="4"/>
      <c r="E28" s="4"/>
      <c r="F28" s="1017">
        <v>290</v>
      </c>
      <c r="G28" s="221"/>
      <c r="H28" s="1524"/>
    </row>
    <row r="29" spans="1:9" ht="15.75" thickBot="1">
      <c r="A29" s="978" t="s">
        <v>1603</v>
      </c>
      <c r="B29" s="1626" t="s">
        <v>1665</v>
      </c>
      <c r="C29" s="1626"/>
      <c r="D29" s="4"/>
      <c r="E29" s="4"/>
      <c r="F29" s="1017">
        <v>291</v>
      </c>
      <c r="G29" s="221"/>
      <c r="H29" s="1525"/>
    </row>
    <row r="30" spans="1:9" ht="15.75" thickBot="1">
      <c r="A30" s="1823" t="s">
        <v>1678</v>
      </c>
      <c r="B30" s="1824"/>
      <c r="C30" s="1824"/>
      <c r="D30" s="1824"/>
      <c r="E30" s="2"/>
      <c r="F30" s="1021">
        <v>3</v>
      </c>
      <c r="G30" s="985">
        <f>SUM(G31+G38)</f>
        <v>0</v>
      </c>
      <c r="H30" s="1530">
        <f>SUM(H31+H38)</f>
        <v>6197.34</v>
      </c>
    </row>
    <row r="31" spans="1:9">
      <c r="A31" s="978" t="s">
        <v>1605</v>
      </c>
      <c r="B31" s="4" t="s">
        <v>218</v>
      </c>
      <c r="C31" s="4"/>
      <c r="D31" s="4"/>
      <c r="E31" s="4"/>
      <c r="F31" s="1017" t="s">
        <v>1677</v>
      </c>
      <c r="G31" s="1026"/>
      <c r="H31" s="1528">
        <f>SUM(H32:H37)</f>
        <v>6197.34</v>
      </c>
    </row>
    <row r="32" spans="1:9">
      <c r="A32" s="3"/>
      <c r="B32" s="979" t="s">
        <v>1590</v>
      </c>
      <c r="C32" s="1626" t="s">
        <v>1676</v>
      </c>
      <c r="D32" s="1626"/>
      <c r="E32" s="4"/>
      <c r="F32" s="1017" t="s">
        <v>1675</v>
      </c>
      <c r="G32" s="221"/>
      <c r="H32" s="214"/>
    </row>
    <row r="33" spans="1:9">
      <c r="A33" s="3"/>
      <c r="B33" s="979" t="s">
        <v>1587</v>
      </c>
      <c r="C33" s="1626" t="s">
        <v>1674</v>
      </c>
      <c r="D33" s="1626"/>
      <c r="E33" s="4"/>
      <c r="F33" s="1017">
        <v>32</v>
      </c>
      <c r="G33" s="221"/>
      <c r="H33" s="214"/>
    </row>
    <row r="34" spans="1:9">
      <c r="A34" s="3"/>
      <c r="B34" s="979" t="s">
        <v>1613</v>
      </c>
      <c r="C34" s="1626" t="s">
        <v>1673</v>
      </c>
      <c r="D34" s="1626"/>
      <c r="E34" s="4"/>
      <c r="F34" s="1017">
        <v>33</v>
      </c>
      <c r="G34" s="221"/>
      <c r="H34" s="214"/>
    </row>
    <row r="35" spans="1:9">
      <c r="A35" s="3"/>
      <c r="B35" s="979" t="s">
        <v>1611</v>
      </c>
      <c r="C35" s="1626" t="s">
        <v>367</v>
      </c>
      <c r="D35" s="1626"/>
      <c r="E35" s="990" t="s">
        <v>500</v>
      </c>
      <c r="F35" s="1017">
        <v>34</v>
      </c>
      <c r="G35" s="221"/>
      <c r="H35" s="1526">
        <f>'Bal des comptes'!$E$12</f>
        <v>6197.34</v>
      </c>
      <c r="I35" s="253"/>
    </row>
    <row r="36" spans="1:9">
      <c r="A36" s="3"/>
      <c r="B36" s="979" t="s">
        <v>1610</v>
      </c>
      <c r="C36" s="1626" t="s">
        <v>1672</v>
      </c>
      <c r="D36" s="1626"/>
      <c r="E36" s="1626"/>
      <c r="F36" s="1017">
        <v>35</v>
      </c>
      <c r="G36" s="221"/>
      <c r="H36" s="214"/>
    </row>
    <row r="37" spans="1:9" ht="15.75" thickBot="1">
      <c r="A37" s="3"/>
      <c r="B37" s="979" t="s">
        <v>1671</v>
      </c>
      <c r="C37" s="935" t="s">
        <v>1670</v>
      </c>
      <c r="D37" s="4"/>
      <c r="E37" s="4"/>
      <c r="F37" s="1017">
        <v>36</v>
      </c>
      <c r="G37" s="221"/>
      <c r="H37" s="1527"/>
    </row>
    <row r="38" spans="1:9" ht="15.75" thickBot="1">
      <c r="A38" s="978" t="s">
        <v>1603</v>
      </c>
      <c r="B38" s="1626" t="s">
        <v>1669</v>
      </c>
      <c r="C38" s="1626"/>
      <c r="D38" s="1626"/>
      <c r="E38" s="4"/>
      <c r="F38" s="1017">
        <v>37</v>
      </c>
      <c r="G38" s="221"/>
      <c r="H38" s="1025"/>
    </row>
    <row r="39" spans="1:9">
      <c r="A39" s="1024" t="s">
        <v>1668</v>
      </c>
      <c r="B39" s="1023"/>
      <c r="C39" s="2"/>
      <c r="D39" s="2"/>
      <c r="E39" s="2"/>
      <c r="F39" s="1021" t="s">
        <v>1667</v>
      </c>
      <c r="G39" s="985">
        <f>SUM(G40:G41)</f>
        <v>0</v>
      </c>
      <c r="H39" s="1533">
        <f>SUM(H40:H41)</f>
        <v>5380.8454000000002</v>
      </c>
    </row>
    <row r="40" spans="1:9">
      <c r="A40" s="978" t="s">
        <v>1605</v>
      </c>
      <c r="B40" s="1626" t="s">
        <v>1666</v>
      </c>
      <c r="C40" s="1626"/>
      <c r="D40" s="1833" t="s">
        <v>1692</v>
      </c>
      <c r="E40" s="1834"/>
      <c r="F40" s="1017">
        <v>40</v>
      </c>
      <c r="G40" s="221"/>
      <c r="H40" s="214">
        <f>'Bal des comptes'!E13</f>
        <v>4931.5819000000001</v>
      </c>
    </row>
    <row r="41" spans="1:9" ht="15.75" thickBot="1">
      <c r="A41" s="978" t="s">
        <v>1603</v>
      </c>
      <c r="B41" s="1626" t="s">
        <v>1665</v>
      </c>
      <c r="C41" s="1626"/>
      <c r="D41" s="1816" t="s">
        <v>1664</v>
      </c>
      <c r="E41" s="1840"/>
      <c r="F41" s="1017">
        <v>41</v>
      </c>
      <c r="G41" s="221"/>
      <c r="H41" s="1534">
        <f>'Bal des comptes'!E16</f>
        <v>449.26350000000002</v>
      </c>
      <c r="I41" s="253"/>
    </row>
    <row r="42" spans="1:9">
      <c r="A42" s="1823" t="s">
        <v>1663</v>
      </c>
      <c r="B42" s="1824"/>
      <c r="C42" s="1824"/>
      <c r="D42" s="1824"/>
      <c r="E42" s="2"/>
      <c r="F42" s="1021" t="s">
        <v>1662</v>
      </c>
      <c r="G42" s="985">
        <f>SUM(G43:G44)</f>
        <v>0</v>
      </c>
      <c r="H42" s="1533">
        <f>SUM(H43:H44)</f>
        <v>0</v>
      </c>
    </row>
    <row r="43" spans="1:9">
      <c r="A43" s="1020" t="s">
        <v>1605</v>
      </c>
      <c r="B43" s="1626" t="s">
        <v>1661</v>
      </c>
      <c r="C43" s="1626"/>
      <c r="D43" s="4"/>
      <c r="E43" s="4"/>
      <c r="F43" s="1017">
        <v>50</v>
      </c>
      <c r="G43" s="221"/>
      <c r="H43" s="214"/>
    </row>
    <row r="44" spans="1:9">
      <c r="A44" s="1020" t="s">
        <v>1603</v>
      </c>
      <c r="B44" s="1626" t="s">
        <v>1660</v>
      </c>
      <c r="C44" s="1626"/>
      <c r="D44" s="4"/>
      <c r="E44" s="4"/>
      <c r="F44" s="1017" t="s">
        <v>1659</v>
      </c>
      <c r="G44" s="221"/>
      <c r="H44" s="214"/>
    </row>
    <row r="45" spans="1:9">
      <c r="A45" s="1823" t="s">
        <v>1658</v>
      </c>
      <c r="B45" s="1824"/>
      <c r="C45" s="1838" t="s">
        <v>1657</v>
      </c>
      <c r="D45" s="1838"/>
      <c r="E45" s="1839"/>
      <c r="F45" s="1021" t="s">
        <v>1656</v>
      </c>
      <c r="G45" s="1538">
        <f>'Val-Départ'!W7</f>
        <v>4338.1400000000003</v>
      </c>
      <c r="H45" s="1539">
        <f>SUM(H46:H48)</f>
        <v>7188.92</v>
      </c>
    </row>
    <row r="46" spans="1:9">
      <c r="A46" s="1506"/>
      <c r="B46" s="1507"/>
      <c r="C46" s="1535"/>
      <c r="D46" s="1535"/>
      <c r="E46" s="1535" t="s">
        <v>217</v>
      </c>
      <c r="F46" s="1017">
        <v>550</v>
      </c>
      <c r="G46" s="260"/>
      <c r="H46" s="1536">
        <f>'Bal des comptes'!E17</f>
        <v>4338.1400000000003</v>
      </c>
    </row>
    <row r="47" spans="1:9">
      <c r="A47" s="1506"/>
      <c r="B47" s="1507"/>
      <c r="C47" s="1535"/>
      <c r="D47" s="1535"/>
      <c r="E47" s="1535" t="s">
        <v>1873</v>
      </c>
      <c r="F47" s="1017">
        <v>560</v>
      </c>
      <c r="G47" s="260"/>
      <c r="H47" s="1536">
        <f>'Bal des comptes'!E18</f>
        <v>1239.47</v>
      </c>
    </row>
    <row r="48" spans="1:9">
      <c r="A48" s="1540"/>
      <c r="B48" s="1541"/>
      <c r="C48" s="1542"/>
      <c r="D48" s="1542"/>
      <c r="E48" s="1542" t="s">
        <v>219</v>
      </c>
      <c r="F48" s="1029">
        <v>570</v>
      </c>
      <c r="G48" s="1543"/>
      <c r="H48" s="1544">
        <f>'Bal des comptes'!E19</f>
        <v>1611.31</v>
      </c>
    </row>
    <row r="49" spans="1:8">
      <c r="A49" s="1019" t="s">
        <v>1655</v>
      </c>
      <c r="B49" s="1018"/>
      <c r="C49" s="1018"/>
      <c r="D49" s="935"/>
      <c r="E49" s="4"/>
      <c r="F49" s="1017" t="s">
        <v>1654</v>
      </c>
      <c r="G49" s="221"/>
      <c r="H49" s="1531">
        <f>SUM(H50)</f>
        <v>0</v>
      </c>
    </row>
    <row r="50" spans="1:8">
      <c r="A50" s="1506"/>
      <c r="B50" s="1507"/>
      <c r="C50" s="1507"/>
      <c r="D50" s="1505"/>
      <c r="E50" s="4"/>
      <c r="F50" s="1017">
        <v>600</v>
      </c>
      <c r="G50" s="221"/>
      <c r="H50" s="1545"/>
    </row>
    <row r="51" spans="1:8" ht="18.75">
      <c r="A51" s="107"/>
      <c r="B51" s="77"/>
      <c r="C51" s="77"/>
      <c r="D51" s="1825" t="s">
        <v>1653</v>
      </c>
      <c r="E51" s="1826"/>
      <c r="F51" s="1015" t="s">
        <v>1652</v>
      </c>
      <c r="G51" s="1014">
        <f>SUM(G25+G3)</f>
        <v>4338.1400000000003</v>
      </c>
      <c r="H51" s="1013">
        <f>SUM(H25+H3)</f>
        <v>24964.445400000001</v>
      </c>
    </row>
    <row r="52" spans="1:8">
      <c r="G52" s="1012" t="s">
        <v>1651</v>
      </c>
      <c r="H52" s="1011">
        <f>(H51-G51)</f>
        <v>20626.305400000001</v>
      </c>
    </row>
    <row r="53" spans="1:8">
      <c r="G53" s="1012"/>
      <c r="H53" s="1011"/>
    </row>
    <row r="54" spans="1:8">
      <c r="A54" s="1"/>
      <c r="B54" s="1010" t="s">
        <v>1650</v>
      </c>
      <c r="C54" s="2"/>
      <c r="D54" s="2"/>
      <c r="E54" s="2"/>
      <c r="F54" s="1009" t="s">
        <v>1649</v>
      </c>
      <c r="G54" s="1008" t="s">
        <v>1648</v>
      </c>
      <c r="H54" s="1007" t="s">
        <v>1647</v>
      </c>
    </row>
    <row r="55" spans="1:8">
      <c r="A55" s="1821" t="s">
        <v>1646</v>
      </c>
      <c r="B55" s="1809"/>
      <c r="C55" s="1809"/>
      <c r="D55" s="1620" t="s">
        <v>1874</v>
      </c>
      <c r="E55" s="1845"/>
      <c r="F55" s="1006" t="s">
        <v>1645</v>
      </c>
      <c r="G55" s="985">
        <f>SUM(G56+G59+G60+G61+G68+G70-G69)</f>
        <v>12394.69</v>
      </c>
      <c r="H55" s="984">
        <f>SUM(H56+H59+H60+H61+H68+H70-H69)</f>
        <v>12394.69</v>
      </c>
    </row>
    <row r="56" spans="1:8">
      <c r="A56" s="1819" t="s">
        <v>1644</v>
      </c>
      <c r="B56" s="1820"/>
      <c r="C56" s="4"/>
      <c r="D56" s="4"/>
      <c r="E56" s="4"/>
      <c r="F56" s="977">
        <v>10</v>
      </c>
      <c r="G56" s="981">
        <f>SUM(G57:G58)</f>
        <v>12394.69</v>
      </c>
      <c r="H56" s="1005">
        <f>SUM(H57:H58)</f>
        <v>12394.69</v>
      </c>
    </row>
    <row r="57" spans="1:8" ht="15.75">
      <c r="A57" s="978" t="s">
        <v>1605</v>
      </c>
      <c r="B57" s="935" t="s">
        <v>1643</v>
      </c>
      <c r="C57" s="935"/>
      <c r="D57" s="4"/>
      <c r="E57" s="4"/>
      <c r="F57" s="977">
        <v>100</v>
      </c>
      <c r="G57" s="983">
        <f>'Val-Départ'!W3</f>
        <v>12394.69</v>
      </c>
      <c r="H57" s="980">
        <f>'Bal des comptes'!$F$7</f>
        <v>12394.69</v>
      </c>
    </row>
    <row r="58" spans="1:8">
      <c r="A58" s="978" t="s">
        <v>1603</v>
      </c>
      <c r="B58" s="935" t="s">
        <v>1642</v>
      </c>
      <c r="C58" s="935"/>
      <c r="D58" s="4"/>
      <c r="E58" s="4"/>
      <c r="F58" s="977">
        <v>101</v>
      </c>
      <c r="G58" s="976"/>
      <c r="H58" s="976"/>
    </row>
    <row r="59" spans="1:8">
      <c r="A59" s="1004" t="s">
        <v>1641</v>
      </c>
      <c r="B59" s="993"/>
      <c r="C59" s="935"/>
      <c r="D59" s="4"/>
      <c r="E59" s="4"/>
      <c r="F59" s="977">
        <v>11</v>
      </c>
      <c r="G59" s="976"/>
      <c r="H59" s="976"/>
    </row>
    <row r="60" spans="1:8">
      <c r="A60" s="1004" t="s">
        <v>1640</v>
      </c>
      <c r="B60" s="1003"/>
      <c r="C60" s="1003"/>
      <c r="D60" s="935"/>
      <c r="E60" s="4"/>
      <c r="F60" s="977">
        <v>12</v>
      </c>
      <c r="G60" s="976"/>
      <c r="H60" s="976"/>
    </row>
    <row r="61" spans="1:8">
      <c r="A61" s="988" t="s">
        <v>1639</v>
      </c>
      <c r="B61" s="987"/>
      <c r="C61" s="2"/>
      <c r="D61" s="2"/>
      <c r="E61" s="2"/>
      <c r="F61" s="986">
        <v>13</v>
      </c>
      <c r="G61" s="985">
        <f>SUM(G62+G63+G66+G67)</f>
        <v>0</v>
      </c>
      <c r="H61" s="985">
        <f>SUM(H62+H63+H66+H67)</f>
        <v>0</v>
      </c>
    </row>
    <row r="62" spans="1:8">
      <c r="A62" s="978" t="s">
        <v>1605</v>
      </c>
      <c r="B62" s="935" t="s">
        <v>1638</v>
      </c>
      <c r="C62" s="935"/>
      <c r="D62" s="4"/>
      <c r="E62" s="4"/>
      <c r="F62" s="977">
        <v>130</v>
      </c>
      <c r="G62" s="976"/>
      <c r="H62" s="976"/>
    </row>
    <row r="63" spans="1:8">
      <c r="A63" s="978" t="s">
        <v>1603</v>
      </c>
      <c r="B63" s="935" t="s">
        <v>1637</v>
      </c>
      <c r="C63" s="935"/>
      <c r="D63" s="935"/>
      <c r="E63" s="4"/>
      <c r="F63" s="977">
        <v>131</v>
      </c>
      <c r="G63" s="981">
        <f>SUM(G64:G65)</f>
        <v>0</v>
      </c>
      <c r="H63" s="981">
        <f>SUM(H64:H65)</f>
        <v>0</v>
      </c>
    </row>
    <row r="64" spans="1:8">
      <c r="A64" s="3"/>
      <c r="B64" s="979" t="s">
        <v>1590</v>
      </c>
      <c r="C64" s="935" t="s">
        <v>1636</v>
      </c>
      <c r="D64" s="935"/>
      <c r="E64" s="4"/>
      <c r="F64" s="977">
        <v>1310</v>
      </c>
      <c r="G64" s="976"/>
      <c r="H64" s="976"/>
    </row>
    <row r="65" spans="1:8">
      <c r="A65" s="3"/>
      <c r="B65" s="979" t="s">
        <v>1587</v>
      </c>
      <c r="C65" s="4" t="s">
        <v>1635</v>
      </c>
      <c r="D65" s="4"/>
      <c r="E65" s="4"/>
      <c r="F65" s="977">
        <v>1311</v>
      </c>
      <c r="G65" s="976"/>
      <c r="H65" s="976"/>
    </row>
    <row r="66" spans="1:8">
      <c r="A66" s="978" t="s">
        <v>1598</v>
      </c>
      <c r="B66" s="935" t="s">
        <v>1634</v>
      </c>
      <c r="C66" s="935"/>
      <c r="D66" s="935"/>
      <c r="E66" s="4"/>
      <c r="F66" s="977">
        <v>132</v>
      </c>
      <c r="G66" s="976"/>
      <c r="H66" s="976"/>
    </row>
    <row r="67" spans="1:8">
      <c r="A67" s="978" t="s">
        <v>1594</v>
      </c>
      <c r="B67" s="935" t="s">
        <v>1633</v>
      </c>
      <c r="C67" s="935"/>
      <c r="D67" s="4"/>
      <c r="E67" s="4"/>
      <c r="F67" s="977">
        <v>133</v>
      </c>
      <c r="G67" s="976"/>
      <c r="H67" s="976"/>
    </row>
    <row r="68" spans="1:8">
      <c r="A68" s="988" t="s">
        <v>1632</v>
      </c>
      <c r="B68" s="987"/>
      <c r="C68" s="2"/>
      <c r="D68" s="2"/>
      <c r="E68" s="2"/>
      <c r="F68" s="986">
        <v>140</v>
      </c>
      <c r="G68" s="1002"/>
      <c r="H68" s="1001">
        <f>'Comp Résultat'!D52</f>
        <v>0</v>
      </c>
    </row>
    <row r="69" spans="1:8">
      <c r="A69" s="1625" t="s">
        <v>1631</v>
      </c>
      <c r="B69" s="1626"/>
      <c r="C69" s="4"/>
      <c r="D69" s="4"/>
      <c r="E69" s="4"/>
      <c r="F69" s="977">
        <v>141</v>
      </c>
      <c r="G69" s="976"/>
      <c r="H69" s="976"/>
    </row>
    <row r="70" spans="1:8">
      <c r="A70" s="1000" t="s">
        <v>1630</v>
      </c>
      <c r="B70" s="999"/>
      <c r="C70" s="999"/>
      <c r="D70" s="519"/>
      <c r="E70" s="519"/>
      <c r="F70" s="998">
        <v>15</v>
      </c>
      <c r="G70" s="997"/>
      <c r="H70" s="997"/>
    </row>
    <row r="71" spans="1:8">
      <c r="A71" s="1822" t="s">
        <v>1629</v>
      </c>
      <c r="B71" s="1816"/>
      <c r="C71" s="1816"/>
      <c r="D71" s="932"/>
      <c r="E71" s="932"/>
      <c r="F71" s="977">
        <v>16</v>
      </c>
      <c r="G71" s="981">
        <f>SUM(G72+G77)</f>
        <v>0</v>
      </c>
      <c r="H71" s="981">
        <f>SUM(H72+H77)</f>
        <v>0</v>
      </c>
    </row>
    <row r="72" spans="1:8">
      <c r="A72" s="996" t="s">
        <v>1628</v>
      </c>
      <c r="B72" s="995" t="s">
        <v>1627</v>
      </c>
      <c r="C72" s="995"/>
      <c r="D72" s="995"/>
      <c r="E72" s="995"/>
      <c r="F72" s="986" t="s">
        <v>1626</v>
      </c>
      <c r="G72" s="985">
        <f>SUM(G73:G76)</f>
        <v>0</v>
      </c>
      <c r="H72" s="985">
        <f>SUM(H73:H76)</f>
        <v>0</v>
      </c>
    </row>
    <row r="73" spans="1:8">
      <c r="A73" s="3"/>
      <c r="B73" s="979" t="s">
        <v>1590</v>
      </c>
      <c r="C73" s="935" t="s">
        <v>1625</v>
      </c>
      <c r="D73" s="935"/>
      <c r="E73" s="935"/>
      <c r="F73" s="977">
        <v>160</v>
      </c>
      <c r="G73" s="976"/>
      <c r="H73" s="976"/>
    </row>
    <row r="74" spans="1:8">
      <c r="A74" s="3"/>
      <c r="B74" s="979" t="s">
        <v>1587</v>
      </c>
      <c r="C74" s="935" t="s">
        <v>1624</v>
      </c>
      <c r="D74" s="935"/>
      <c r="E74" s="4"/>
      <c r="F74" s="977">
        <v>161</v>
      </c>
      <c r="G74" s="976"/>
      <c r="H74" s="976"/>
    </row>
    <row r="75" spans="1:8">
      <c r="A75" s="3"/>
      <c r="B75" s="979" t="s">
        <v>1613</v>
      </c>
      <c r="C75" s="935" t="s">
        <v>1623</v>
      </c>
      <c r="D75" s="935"/>
      <c r="E75" s="935"/>
      <c r="F75" s="977">
        <v>162</v>
      </c>
      <c r="G75" s="976"/>
      <c r="H75" s="976"/>
    </row>
    <row r="76" spans="1:8">
      <c r="A76" s="3"/>
      <c r="B76" s="979" t="s">
        <v>1611</v>
      </c>
      <c r="C76" s="4" t="s">
        <v>1622</v>
      </c>
      <c r="D76" s="4"/>
      <c r="E76" s="4"/>
      <c r="F76" s="977" t="s">
        <v>1621</v>
      </c>
      <c r="G76" s="976"/>
      <c r="H76" s="976"/>
    </row>
    <row r="77" spans="1:8">
      <c r="A77" s="994" t="s">
        <v>1603</v>
      </c>
      <c r="B77" s="993" t="s">
        <v>1620</v>
      </c>
      <c r="C77" s="993"/>
      <c r="D77" s="4"/>
      <c r="E77" s="4"/>
      <c r="F77" s="977">
        <v>168</v>
      </c>
      <c r="G77" s="976"/>
      <c r="H77" s="976"/>
    </row>
    <row r="78" spans="1:8">
      <c r="A78" s="1"/>
      <c r="B78" s="1809" t="s">
        <v>1619</v>
      </c>
      <c r="C78" s="1809"/>
      <c r="D78" s="1809"/>
      <c r="E78" s="2"/>
      <c r="F78" s="986" t="s">
        <v>1618</v>
      </c>
      <c r="G78" s="985">
        <f>SUM(G79+G91+G104)</f>
        <v>2974.72</v>
      </c>
      <c r="H78" s="1546">
        <f>SUM(H79+H91+H104)</f>
        <v>8955.1332000000002</v>
      </c>
    </row>
    <row r="79" spans="1:8">
      <c r="A79" s="988" t="s">
        <v>1617</v>
      </c>
      <c r="B79" s="987"/>
      <c r="C79" s="987"/>
      <c r="D79" s="987"/>
      <c r="E79" s="2"/>
      <c r="F79" s="986">
        <v>17</v>
      </c>
      <c r="G79" s="985">
        <f>SUM(G80+G86+G89+G90)</f>
        <v>2974.72</v>
      </c>
      <c r="H79" s="1547">
        <f>SUM(H80+H86+H89+H90)</f>
        <v>8761.5300000000007</v>
      </c>
    </row>
    <row r="80" spans="1:8">
      <c r="A80" s="978" t="s">
        <v>1605</v>
      </c>
      <c r="B80" s="935" t="s">
        <v>1602</v>
      </c>
      <c r="C80" s="935"/>
      <c r="D80" s="4"/>
      <c r="E80" s="4"/>
      <c r="F80" s="977" t="s">
        <v>1616</v>
      </c>
      <c r="G80" s="992">
        <f>SUM(G81:G85)</f>
        <v>0</v>
      </c>
      <c r="H80" s="981">
        <f>SUM(H81:H85)</f>
        <v>7436.81</v>
      </c>
    </row>
    <row r="81" spans="1:8">
      <c r="A81" s="3"/>
      <c r="B81" s="979" t="s">
        <v>1590</v>
      </c>
      <c r="C81" s="935" t="s">
        <v>1615</v>
      </c>
      <c r="D81" s="935"/>
      <c r="E81" s="935"/>
      <c r="F81" s="977">
        <v>170</v>
      </c>
      <c r="G81" s="976"/>
      <c r="H81" s="976"/>
    </row>
    <row r="82" spans="1:8">
      <c r="A82" s="3"/>
      <c r="B82" s="979" t="s">
        <v>1587</v>
      </c>
      <c r="C82" s="935" t="s">
        <v>1614</v>
      </c>
      <c r="D82" s="935"/>
      <c r="E82" s="935"/>
      <c r="F82" s="977">
        <v>171</v>
      </c>
      <c r="G82" s="976"/>
      <c r="H82" s="976"/>
    </row>
    <row r="83" spans="1:8">
      <c r="A83" s="3"/>
      <c r="B83" s="979" t="s">
        <v>1613</v>
      </c>
      <c r="C83" s="991" t="s">
        <v>1612</v>
      </c>
      <c r="D83" s="991"/>
      <c r="E83" s="991"/>
      <c r="F83" s="977">
        <v>172</v>
      </c>
      <c r="G83" s="976"/>
      <c r="H83" s="976"/>
    </row>
    <row r="84" spans="1:8">
      <c r="A84" s="3"/>
      <c r="B84" s="979" t="s">
        <v>1611</v>
      </c>
      <c r="C84" s="935" t="s">
        <v>1601</v>
      </c>
      <c r="D84" s="935"/>
      <c r="E84" s="935"/>
      <c r="F84" s="977">
        <v>173</v>
      </c>
      <c r="G84" s="976"/>
      <c r="H84" s="976"/>
    </row>
    <row r="85" spans="1:8" ht="15.75">
      <c r="A85" s="3"/>
      <c r="B85" s="979" t="s">
        <v>1610</v>
      </c>
      <c r="C85" s="935" t="s">
        <v>1599</v>
      </c>
      <c r="D85" s="935"/>
      <c r="E85" s="4"/>
      <c r="F85" s="977">
        <v>174</v>
      </c>
      <c r="G85" s="983"/>
      <c r="H85" s="980">
        <f>'Bal des comptes'!$F$8</f>
        <v>7436.81</v>
      </c>
    </row>
    <row r="86" spans="1:8">
      <c r="A86" s="978" t="s">
        <v>1603</v>
      </c>
      <c r="B86" s="935" t="s">
        <v>1597</v>
      </c>
      <c r="C86" s="935"/>
      <c r="D86" s="4"/>
      <c r="E86" s="4"/>
      <c r="F86" s="977">
        <v>175</v>
      </c>
      <c r="G86" s="981">
        <f>SUM(G87:G88)</f>
        <v>2974.72</v>
      </c>
      <c r="H86" s="981">
        <f>SUM(H87:H88)</f>
        <v>1324.7199999999998</v>
      </c>
    </row>
    <row r="87" spans="1:8" ht="15.75">
      <c r="A87" s="3"/>
      <c r="B87" s="989" t="s">
        <v>1590</v>
      </c>
      <c r="C87" s="935" t="s">
        <v>69</v>
      </c>
      <c r="D87" s="935"/>
      <c r="E87" s="990" t="s">
        <v>1609</v>
      </c>
      <c r="F87" s="977">
        <v>1750</v>
      </c>
      <c r="G87" s="983">
        <f>'Val-Départ'!W6</f>
        <v>2974.72</v>
      </c>
      <c r="H87" s="980">
        <f>'Bal des comptes'!F15</f>
        <v>1324.7199999999998</v>
      </c>
    </row>
    <row r="88" spans="1:8">
      <c r="A88" s="3"/>
      <c r="B88" s="989" t="s">
        <v>1587</v>
      </c>
      <c r="C88" s="935" t="s">
        <v>1595</v>
      </c>
      <c r="D88" s="935"/>
      <c r="E88" s="4"/>
      <c r="F88" s="977">
        <v>1751</v>
      </c>
      <c r="G88" s="976"/>
      <c r="H88" s="976"/>
    </row>
    <row r="89" spans="1:8">
      <c r="A89" s="978" t="s">
        <v>1598</v>
      </c>
      <c r="B89" s="982" t="s">
        <v>1593</v>
      </c>
      <c r="C89" s="982"/>
      <c r="D89" s="982"/>
      <c r="E89" s="935"/>
      <c r="F89" s="977">
        <v>176</v>
      </c>
      <c r="G89" s="976"/>
      <c r="H89" s="976"/>
    </row>
    <row r="90" spans="1:8">
      <c r="A90" s="978" t="s">
        <v>1594</v>
      </c>
      <c r="B90" s="982" t="s">
        <v>1583</v>
      </c>
      <c r="C90" s="982"/>
      <c r="D90" s="4"/>
      <c r="E90" s="4"/>
      <c r="F90" s="977" t="s">
        <v>1608</v>
      </c>
      <c r="G90" s="976"/>
      <c r="H90" s="976"/>
    </row>
    <row r="91" spans="1:8">
      <c r="A91" s="988" t="s">
        <v>1607</v>
      </c>
      <c r="B91" s="987"/>
      <c r="C91" s="987"/>
      <c r="D91" s="987"/>
      <c r="E91" s="2"/>
      <c r="F91" s="986" t="s">
        <v>1606</v>
      </c>
      <c r="G91" s="985">
        <f>SUM(G92+G93+G96+G99+G100+G103)</f>
        <v>0</v>
      </c>
      <c r="H91" s="1547">
        <f>SUM(H92+H93+H96+H99+H100+H103)</f>
        <v>193.60319999999999</v>
      </c>
    </row>
    <row r="92" spans="1:8">
      <c r="A92" s="978" t="s">
        <v>1605</v>
      </c>
      <c r="B92" s="935" t="s">
        <v>1604</v>
      </c>
      <c r="C92" s="935"/>
      <c r="D92" s="935"/>
      <c r="E92" s="935"/>
      <c r="F92" s="977">
        <v>42</v>
      </c>
      <c r="G92" s="976"/>
      <c r="H92" s="976"/>
    </row>
    <row r="93" spans="1:8">
      <c r="A93" s="978" t="s">
        <v>1603</v>
      </c>
      <c r="B93" s="935" t="s">
        <v>1602</v>
      </c>
      <c r="C93" s="935"/>
      <c r="D93" s="4"/>
      <c r="E93" s="4"/>
      <c r="F93" s="977">
        <v>43</v>
      </c>
      <c r="G93" s="981">
        <f>SUM(G94:G95)</f>
        <v>0</v>
      </c>
      <c r="H93" s="981">
        <f>SUM(H94:H95)</f>
        <v>0</v>
      </c>
    </row>
    <row r="94" spans="1:8">
      <c r="A94" s="3"/>
      <c r="B94" s="979" t="s">
        <v>1590</v>
      </c>
      <c r="C94" s="935" t="s">
        <v>1601</v>
      </c>
      <c r="D94" s="935"/>
      <c r="E94" s="935"/>
      <c r="F94" s="977" t="s">
        <v>1600</v>
      </c>
      <c r="G94" s="976"/>
      <c r="H94" s="976"/>
    </row>
    <row r="95" spans="1:8">
      <c r="A95" s="3"/>
      <c r="B95" s="979" t="s">
        <v>1587</v>
      </c>
      <c r="C95" s="935" t="s">
        <v>1599</v>
      </c>
      <c r="D95" s="935"/>
      <c r="E95" s="4"/>
      <c r="F95" s="977">
        <v>439</v>
      </c>
      <c r="G95" s="976"/>
      <c r="H95" s="976"/>
    </row>
    <row r="96" spans="1:8">
      <c r="A96" s="978" t="s">
        <v>1598</v>
      </c>
      <c r="B96" s="935" t="s">
        <v>1597</v>
      </c>
      <c r="C96" s="935"/>
      <c r="D96" s="4"/>
      <c r="E96" s="4"/>
      <c r="F96" s="977">
        <v>44</v>
      </c>
      <c r="G96" s="981">
        <f>SUM(G97:G98)</f>
        <v>0</v>
      </c>
      <c r="H96" s="981">
        <f>SUM(H97:H98)</f>
        <v>0</v>
      </c>
    </row>
    <row r="97" spans="1:8">
      <c r="A97" s="3"/>
      <c r="B97" s="979" t="s">
        <v>1590</v>
      </c>
      <c r="C97" s="935" t="s">
        <v>69</v>
      </c>
      <c r="D97" s="935"/>
      <c r="E97" s="4"/>
      <c r="F97" s="977" t="s">
        <v>1596</v>
      </c>
      <c r="G97" s="983"/>
      <c r="H97" s="976"/>
    </row>
    <row r="98" spans="1:8">
      <c r="A98" s="3"/>
      <c r="B98" s="979" t="s">
        <v>1587</v>
      </c>
      <c r="C98" s="935" t="s">
        <v>1595</v>
      </c>
      <c r="D98" s="935"/>
      <c r="E98" s="4"/>
      <c r="F98" s="977">
        <v>441</v>
      </c>
      <c r="G98" s="976"/>
      <c r="H98" s="976"/>
    </row>
    <row r="99" spans="1:8">
      <c r="A99" s="978" t="s">
        <v>1594</v>
      </c>
      <c r="B99" s="935" t="s">
        <v>1593</v>
      </c>
      <c r="C99" s="935"/>
      <c r="D99" s="935"/>
      <c r="E99" s="935"/>
      <c r="F99" s="977">
        <v>46</v>
      </c>
      <c r="G99" s="976"/>
      <c r="H99" s="976"/>
    </row>
    <row r="100" spans="1:8">
      <c r="A100" s="978" t="s">
        <v>1592</v>
      </c>
      <c r="B100" s="982" t="s">
        <v>1591</v>
      </c>
      <c r="C100" s="982"/>
      <c r="D100" s="982"/>
      <c r="E100" s="982"/>
      <c r="F100" s="977">
        <v>45</v>
      </c>
      <c r="G100" s="981">
        <f>SUM(G101:G102)</f>
        <v>0</v>
      </c>
      <c r="H100" s="981">
        <f>SUM(H101:H102)</f>
        <v>193.60319999999999</v>
      </c>
    </row>
    <row r="101" spans="1:8" ht="15.75">
      <c r="A101" s="3"/>
      <c r="B101" s="979" t="s">
        <v>1590</v>
      </c>
      <c r="C101" s="4" t="s">
        <v>1589</v>
      </c>
      <c r="D101" s="4"/>
      <c r="E101" s="4"/>
      <c r="F101" s="977" t="s">
        <v>1588</v>
      </c>
      <c r="G101" s="976"/>
      <c r="H101" s="980">
        <f>'Bal des comptes'!F14</f>
        <v>193.60319999999999</v>
      </c>
    </row>
    <row r="102" spans="1:8">
      <c r="A102" s="3"/>
      <c r="B102" s="979" t="s">
        <v>1587</v>
      </c>
      <c r="C102" s="139" t="s">
        <v>1586</v>
      </c>
      <c r="D102" s="139"/>
      <c r="E102" s="139"/>
      <c r="F102" s="977" t="s">
        <v>1585</v>
      </c>
      <c r="G102" s="976"/>
      <c r="H102" s="976"/>
    </row>
    <row r="103" spans="1:8">
      <c r="A103" s="978" t="s">
        <v>1584</v>
      </c>
      <c r="B103" s="935" t="s">
        <v>1583</v>
      </c>
      <c r="C103" s="935"/>
      <c r="D103" s="4"/>
      <c r="E103" s="4"/>
      <c r="F103" s="977" t="s">
        <v>1582</v>
      </c>
      <c r="G103" s="976"/>
      <c r="H103" s="976"/>
    </row>
    <row r="104" spans="1:8" ht="15.75" thickBot="1">
      <c r="A104" s="975" t="s">
        <v>1581</v>
      </c>
      <c r="B104" s="2"/>
      <c r="C104" s="2"/>
      <c r="D104" s="2"/>
      <c r="E104" s="2"/>
      <c r="F104" s="974" t="s">
        <v>1580</v>
      </c>
      <c r="G104" s="973"/>
      <c r="H104" s="973"/>
    </row>
    <row r="105" spans="1:8" ht="15.75">
      <c r="A105" s="107"/>
      <c r="B105" s="77"/>
      <c r="C105" s="77"/>
      <c r="D105" s="972" t="s">
        <v>1579</v>
      </c>
      <c r="E105" s="971"/>
      <c r="F105" s="970" t="s">
        <v>1578</v>
      </c>
      <c r="G105" s="969">
        <f>SUM(G55+G71+G78)</f>
        <v>15369.41</v>
      </c>
      <c r="H105" s="968">
        <f>SUM(H55+H71+H78)</f>
        <v>21349.823199999999</v>
      </c>
    </row>
  </sheetData>
  <mergeCells count="45">
    <mergeCell ref="D55:E55"/>
    <mergeCell ref="A42:D42"/>
    <mergeCell ref="B43:C43"/>
    <mergeCell ref="B16:C16"/>
    <mergeCell ref="A25:B25"/>
    <mergeCell ref="A27:C27"/>
    <mergeCell ref="B28:C28"/>
    <mergeCell ref="B29:C29"/>
    <mergeCell ref="C25:E25"/>
    <mergeCell ref="C20:D20"/>
    <mergeCell ref="C24:E24"/>
    <mergeCell ref="C17:D17"/>
    <mergeCell ref="B19:D19"/>
    <mergeCell ref="B78:D78"/>
    <mergeCell ref="A1:C1"/>
    <mergeCell ref="A3:B3"/>
    <mergeCell ref="B22:D22"/>
    <mergeCell ref="B8:C8"/>
    <mergeCell ref="B9:D9"/>
    <mergeCell ref="B11:D11"/>
    <mergeCell ref="D40:E40"/>
    <mergeCell ref="C3:E3"/>
    <mergeCell ref="C45:E45"/>
    <mergeCell ref="C23:D23"/>
    <mergeCell ref="D41:E41"/>
    <mergeCell ref="D21:E21"/>
    <mergeCell ref="B13:D13"/>
    <mergeCell ref="B14:E14"/>
    <mergeCell ref="A15:D15"/>
    <mergeCell ref="A56:B56"/>
    <mergeCell ref="A55:C55"/>
    <mergeCell ref="A71:C71"/>
    <mergeCell ref="A30:D30"/>
    <mergeCell ref="C32:D32"/>
    <mergeCell ref="C33:D33"/>
    <mergeCell ref="C34:D34"/>
    <mergeCell ref="C35:D35"/>
    <mergeCell ref="C36:E36"/>
    <mergeCell ref="A69:B69"/>
    <mergeCell ref="B44:C44"/>
    <mergeCell ref="A45:B45"/>
    <mergeCell ref="D51:E51"/>
    <mergeCell ref="B38:D38"/>
    <mergeCell ref="B40:C40"/>
    <mergeCell ref="B41:C41"/>
  </mergeCells>
  <pageMargins left="0.7" right="0.7" top="0.75" bottom="0.75" header="0.3" footer="0.3"/>
  <pageSetup paperSize="9" scale="98" fitToHeight="0" orientation="portrait" r:id="rId1"/>
  <headerFooter>
    <oddHeader>&amp;Ldernoncourt
jordan&amp;CSI noel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I19"/>
  <sheetViews>
    <sheetView topLeftCell="B1" workbookViewId="0">
      <selection activeCell="F19" sqref="F19"/>
    </sheetView>
  </sheetViews>
  <sheetFormatPr baseColWidth="10" defaultRowHeight="15"/>
  <cols>
    <col min="1" max="1" width="11.42578125" style="172"/>
    <col min="2" max="2" width="15.7109375" customWidth="1"/>
    <col min="3" max="3" width="11.42578125" style="172"/>
    <col min="5" max="5" width="16.5703125" customWidth="1"/>
    <col min="6" max="6" width="14.28515625" customWidth="1"/>
  </cols>
  <sheetData>
    <row r="1" spans="1:9">
      <c r="A1" s="172" t="s">
        <v>304</v>
      </c>
      <c r="B1" t="s">
        <v>303</v>
      </c>
      <c r="C1" s="172" t="s">
        <v>65</v>
      </c>
      <c r="D1" s="737" t="s">
        <v>467</v>
      </c>
      <c r="E1" t="s">
        <v>303</v>
      </c>
      <c r="F1" t="s">
        <v>371</v>
      </c>
    </row>
    <row r="2" spans="1:9">
      <c r="A2" s="172">
        <v>10</v>
      </c>
      <c r="B2" t="s">
        <v>202</v>
      </c>
      <c r="C2" s="563"/>
      <c r="D2" s="754">
        <v>0.2</v>
      </c>
      <c r="E2" s="737" t="s">
        <v>202</v>
      </c>
    </row>
    <row r="3" spans="1:9">
      <c r="A3" s="172">
        <v>1</v>
      </c>
      <c r="B3" t="s">
        <v>32</v>
      </c>
      <c r="C3" s="598">
        <v>1</v>
      </c>
      <c r="D3" s="754">
        <v>1</v>
      </c>
      <c r="E3" t="s">
        <v>388</v>
      </c>
      <c r="F3" t="s">
        <v>372</v>
      </c>
    </row>
    <row r="4" spans="1:9">
      <c r="A4" s="172">
        <v>8</v>
      </c>
      <c r="B4" s="41" t="s">
        <v>18</v>
      </c>
      <c r="C4" s="598">
        <v>0.21</v>
      </c>
      <c r="D4" s="754">
        <v>0.4</v>
      </c>
      <c r="E4" s="408" t="s">
        <v>333</v>
      </c>
    </row>
    <row r="5" spans="1:9">
      <c r="A5" s="172">
        <v>12</v>
      </c>
      <c r="B5" t="s">
        <v>226</v>
      </c>
      <c r="C5" s="598">
        <v>0.06</v>
      </c>
      <c r="D5" s="754">
        <v>0</v>
      </c>
      <c r="E5" t="s">
        <v>468</v>
      </c>
    </row>
    <row r="6" spans="1:9">
      <c r="C6" s="1559">
        <v>0</v>
      </c>
      <c r="D6" s="737"/>
      <c r="E6" t="s">
        <v>325</v>
      </c>
    </row>
    <row r="7" spans="1:9">
      <c r="B7" s="737"/>
      <c r="C7" s="1559"/>
      <c r="D7" s="737"/>
      <c r="E7" s="737" t="s">
        <v>312</v>
      </c>
    </row>
    <row r="8" spans="1:9">
      <c r="B8" s="737"/>
      <c r="C8" s="1559"/>
      <c r="D8" s="737"/>
      <c r="E8" s="737" t="s">
        <v>332</v>
      </c>
    </row>
    <row r="9" spans="1:9">
      <c r="A9" s="172">
        <v>14</v>
      </c>
      <c r="B9" t="s">
        <v>229</v>
      </c>
      <c r="C9" s="1559"/>
      <c r="D9" s="754"/>
      <c r="E9" t="s">
        <v>229</v>
      </c>
    </row>
    <row r="10" spans="1:9">
      <c r="A10" s="172">
        <v>2</v>
      </c>
      <c r="B10" t="s">
        <v>29</v>
      </c>
      <c r="D10" s="754">
        <v>0.9</v>
      </c>
      <c r="E10" t="s">
        <v>29</v>
      </c>
      <c r="I10" s="172"/>
    </row>
    <row r="11" spans="1:9">
      <c r="A11" s="172">
        <v>3</v>
      </c>
      <c r="B11" t="s">
        <v>27</v>
      </c>
      <c r="C11" s="598"/>
      <c r="D11" s="754">
        <v>0.8</v>
      </c>
      <c r="E11" t="s">
        <v>27</v>
      </c>
    </row>
    <row r="12" spans="1:9">
      <c r="A12" s="172">
        <v>15</v>
      </c>
      <c r="B12" t="s">
        <v>230</v>
      </c>
      <c r="D12" s="737"/>
      <c r="E12" s="737" t="s">
        <v>464</v>
      </c>
    </row>
    <row r="13" spans="1:9">
      <c r="A13" s="172">
        <v>4</v>
      </c>
      <c r="B13" t="s">
        <v>26</v>
      </c>
      <c r="D13" s="754">
        <v>0.7</v>
      </c>
      <c r="E13" t="s">
        <v>292</v>
      </c>
    </row>
    <row r="14" spans="1:9">
      <c r="A14" s="172">
        <v>11</v>
      </c>
      <c r="B14" t="s">
        <v>13</v>
      </c>
      <c r="D14" s="754">
        <v>0.1</v>
      </c>
      <c r="E14" t="s">
        <v>13</v>
      </c>
    </row>
    <row r="15" spans="1:9">
      <c r="A15" s="172">
        <v>5</v>
      </c>
      <c r="B15" t="s">
        <v>31</v>
      </c>
      <c r="C15" s="598"/>
      <c r="D15" s="754">
        <v>0.6</v>
      </c>
      <c r="E15" s="737" t="s">
        <v>31</v>
      </c>
    </row>
    <row r="16" spans="1:9">
      <c r="A16" s="172">
        <v>7</v>
      </c>
      <c r="B16" s="39" t="s">
        <v>52</v>
      </c>
      <c r="C16" s="598"/>
      <c r="D16" s="754">
        <v>0.5</v>
      </c>
      <c r="E16" s="39" t="s">
        <v>52</v>
      </c>
    </row>
    <row r="17" spans="1:5">
      <c r="E17" t="s">
        <v>308</v>
      </c>
    </row>
    <row r="18" spans="1:5">
      <c r="A18" s="172">
        <v>13</v>
      </c>
      <c r="B18" t="s">
        <v>227</v>
      </c>
      <c r="D18" s="754"/>
      <c r="E18" t="s">
        <v>227</v>
      </c>
    </row>
    <row r="19" spans="1:5">
      <c r="A19" s="172">
        <v>9</v>
      </c>
      <c r="B19" t="s">
        <v>53</v>
      </c>
      <c r="C19" s="510"/>
      <c r="D19" s="754">
        <v>0.3</v>
      </c>
      <c r="E19" s="1117">
        <v>0</v>
      </c>
    </row>
  </sheetData>
  <sortState ref="A2:F19">
    <sortCondition ref="E2"/>
  </sortState>
  <dataConsolidate/>
  <pageMargins left="0.7" right="0.7" top="0.75" bottom="0.75" header="0.3" footer="0.3"/>
  <pageSetup paperSize="9" orientation="portrait" horizontalDpi="30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24"/>
  <sheetViews>
    <sheetView topLeftCell="A7" workbookViewId="0">
      <selection activeCell="I20" sqref="I20"/>
    </sheetView>
  </sheetViews>
  <sheetFormatPr baseColWidth="10" defaultRowHeight="15"/>
  <cols>
    <col min="1" max="1" width="4.85546875" customWidth="1"/>
    <col min="3" max="3" width="15.42578125" customWidth="1"/>
    <col min="4" max="4" width="14.5703125" customWidth="1"/>
  </cols>
  <sheetData>
    <row r="1" spans="1:9">
      <c r="A1">
        <v>1</v>
      </c>
      <c r="B1" t="s">
        <v>39</v>
      </c>
      <c r="C1" t="s">
        <v>40</v>
      </c>
      <c r="D1" t="s">
        <v>41</v>
      </c>
      <c r="E1" t="s">
        <v>42</v>
      </c>
      <c r="F1" t="s">
        <v>32</v>
      </c>
    </row>
    <row r="2" spans="1:9">
      <c r="A2">
        <v>2</v>
      </c>
      <c r="B2" s="38" t="s">
        <v>43</v>
      </c>
      <c r="C2" t="s">
        <v>44</v>
      </c>
      <c r="D2" t="s">
        <v>45</v>
      </c>
      <c r="E2" t="s">
        <v>46</v>
      </c>
      <c r="F2" t="s">
        <v>29</v>
      </c>
    </row>
    <row r="3" spans="1:9">
      <c r="A3">
        <v>3</v>
      </c>
      <c r="B3" s="38" t="s">
        <v>47</v>
      </c>
      <c r="C3" t="s">
        <v>48</v>
      </c>
      <c r="D3" t="s">
        <v>49</v>
      </c>
      <c r="E3" t="s">
        <v>50</v>
      </c>
      <c r="F3" t="s">
        <v>27</v>
      </c>
    </row>
    <row r="4" spans="1:9">
      <c r="A4">
        <v>4</v>
      </c>
      <c r="F4" t="s">
        <v>26</v>
      </c>
    </row>
    <row r="5" spans="1:9">
      <c r="A5">
        <v>5</v>
      </c>
      <c r="F5" t="s">
        <v>31</v>
      </c>
    </row>
    <row r="6" spans="1:9">
      <c r="A6">
        <v>6</v>
      </c>
      <c r="F6" t="s">
        <v>51</v>
      </c>
    </row>
    <row r="7" spans="1:9">
      <c r="A7">
        <v>7</v>
      </c>
      <c r="F7" s="39" t="s">
        <v>52</v>
      </c>
    </row>
    <row r="8" spans="1:9">
      <c r="A8">
        <v>8</v>
      </c>
      <c r="B8" s="40"/>
      <c r="F8" s="41" t="s">
        <v>18</v>
      </c>
    </row>
    <row r="9" spans="1:9">
      <c r="A9">
        <v>9</v>
      </c>
      <c r="B9" s="40"/>
      <c r="F9" t="s">
        <v>53</v>
      </c>
    </row>
    <row r="10" spans="1:9">
      <c r="A10">
        <v>10</v>
      </c>
    </row>
    <row r="11" spans="1:9">
      <c r="A11">
        <v>11</v>
      </c>
    </row>
    <row r="13" spans="1:9">
      <c r="C13" s="737" t="s">
        <v>494</v>
      </c>
      <c r="D13" s="737" t="s">
        <v>69</v>
      </c>
      <c r="E13" s="737" t="s">
        <v>495</v>
      </c>
      <c r="G13" s="737" t="s">
        <v>496</v>
      </c>
      <c r="I13" s="737" t="s">
        <v>497</v>
      </c>
    </row>
    <row r="15" spans="1:9">
      <c r="C15" s="166">
        <f>'Gr liv ACT-PAS'!H84</f>
        <v>0</v>
      </c>
    </row>
    <row r="16" spans="1:9">
      <c r="C16" s="166">
        <f>'Gr liv ACT-PAS'!H88</f>
        <v>0</v>
      </c>
    </row>
    <row r="17" spans="3:3">
      <c r="C17" s="166" t="str">
        <f>'Gr liv ACT-PAS'!R169</f>
        <v/>
      </c>
    </row>
    <row r="18" spans="3:3">
      <c r="C18" s="166" t="str">
        <f>'Gr liv ACT-PAS'!R172</f>
        <v/>
      </c>
    </row>
    <row r="19" spans="3:3">
      <c r="C19" s="166">
        <f>'Gr liv ACT-PAS'!R173</f>
        <v>0</v>
      </c>
    </row>
    <row r="20" spans="3:3">
      <c r="C20" s="166" t="str">
        <f>'Gr liv ACT-PAS'!R174</f>
        <v/>
      </c>
    </row>
    <row r="21" spans="3:3">
      <c r="C21" s="166" t="str">
        <f>'Gr liv ACT-PAS'!R177</f>
        <v/>
      </c>
    </row>
    <row r="22" spans="3:3" s="737" customFormat="1"/>
    <row r="23" spans="3:3">
      <c r="C23" s="166"/>
    </row>
    <row r="24" spans="3:3">
      <c r="C24" s="166">
        <f>SUM(C15:C23)</f>
        <v>0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2:AD33"/>
  <sheetViews>
    <sheetView topLeftCell="A16" zoomScale="85" zoomScaleNormal="85" workbookViewId="0">
      <selection activeCell="D34" sqref="D34"/>
    </sheetView>
  </sheetViews>
  <sheetFormatPr baseColWidth="10" defaultRowHeight="15"/>
  <cols>
    <col min="1" max="1" width="5" customWidth="1"/>
    <col min="2" max="2" width="8.42578125" customWidth="1"/>
    <col min="3" max="3" width="14.42578125" customWidth="1"/>
    <col min="4" max="4" width="13.85546875" customWidth="1"/>
    <col min="5" max="5" width="9.7109375" customWidth="1"/>
    <col min="6" max="6" width="13.140625" customWidth="1"/>
    <col min="7" max="7" width="8.85546875" customWidth="1"/>
    <col min="8" max="8" width="11.85546875" customWidth="1"/>
    <col min="9" max="9" width="7.7109375" customWidth="1"/>
    <col min="10" max="10" width="10.42578125" customWidth="1"/>
    <col min="11" max="11" width="8.42578125" customWidth="1"/>
    <col min="12" max="13" width="9.42578125" customWidth="1"/>
    <col min="14" max="14" width="10.140625" customWidth="1"/>
    <col min="15" max="15" width="10.28515625" customWidth="1"/>
    <col min="16" max="16" width="11.7109375" customWidth="1"/>
    <col min="17" max="17" width="9.7109375" customWidth="1"/>
    <col min="18" max="18" width="10.140625" customWidth="1"/>
    <col min="19" max="19" width="11.42578125" customWidth="1"/>
    <col min="20" max="20" width="6" customWidth="1"/>
    <col min="21" max="21" width="3.7109375" customWidth="1"/>
    <col min="22" max="22" width="5.7109375" customWidth="1"/>
  </cols>
  <sheetData>
    <row r="2" spans="1:30">
      <c r="S2" s="4"/>
      <c r="T2" s="4"/>
    </row>
    <row r="3" spans="1:30">
      <c r="S3" s="77"/>
      <c r="T3" s="4"/>
    </row>
    <row r="4" spans="1:30">
      <c r="A4" s="1860" t="s">
        <v>58</v>
      </c>
      <c r="B4" s="1794"/>
      <c r="C4" s="1794"/>
      <c r="D4" s="1794"/>
      <c r="E4" s="1794"/>
      <c r="F4" s="1794"/>
      <c r="G4" s="1794"/>
      <c r="H4" s="1794"/>
      <c r="I4" s="1794"/>
      <c r="J4" s="1794"/>
      <c r="K4" s="1794"/>
      <c r="L4" s="1794"/>
      <c r="M4" s="1794"/>
      <c r="N4" s="1794"/>
      <c r="O4" s="1794"/>
      <c r="P4" s="1794"/>
      <c r="Q4" s="1794"/>
      <c r="R4" s="1794"/>
      <c r="S4" s="1861"/>
      <c r="T4" s="3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>
      <c r="A5" s="1759"/>
      <c r="B5" s="1760"/>
      <c r="C5" s="1760"/>
      <c r="D5" s="1760"/>
      <c r="E5" s="1760"/>
      <c r="F5" s="1760"/>
      <c r="G5" s="1760"/>
      <c r="H5" s="1760"/>
      <c r="I5" s="1760"/>
      <c r="J5" s="1760"/>
      <c r="K5" s="1760"/>
      <c r="L5" s="1760"/>
      <c r="M5" s="1760"/>
      <c r="N5" s="1760"/>
      <c r="O5" s="1760"/>
      <c r="P5" s="1760"/>
      <c r="Q5" s="1760"/>
      <c r="R5" s="1760"/>
      <c r="S5" s="1862"/>
      <c r="T5" s="3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48" customHeight="1">
      <c r="A6" s="430" t="s">
        <v>54</v>
      </c>
      <c r="B6" s="430" t="s">
        <v>55</v>
      </c>
      <c r="C6" s="430" t="s">
        <v>69</v>
      </c>
      <c r="D6" s="533"/>
      <c r="E6" s="533" t="s">
        <v>19</v>
      </c>
      <c r="F6" s="1868" t="s">
        <v>57</v>
      </c>
      <c r="G6" s="1869"/>
      <c r="H6" s="1870"/>
      <c r="I6" s="1872" t="s">
        <v>340</v>
      </c>
      <c r="J6" s="1873"/>
      <c r="K6" s="534" t="s">
        <v>343</v>
      </c>
      <c r="L6" s="1872" t="s">
        <v>361</v>
      </c>
      <c r="M6" s="1874"/>
      <c r="N6" s="1874"/>
      <c r="O6" s="1875" t="s">
        <v>354</v>
      </c>
      <c r="P6" s="1876"/>
      <c r="Q6" s="1876"/>
      <c r="R6" s="1877"/>
      <c r="S6" s="1865" t="s">
        <v>146</v>
      </c>
      <c r="T6" s="3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78" customHeight="1">
      <c r="A7" s="42"/>
      <c r="B7" s="42"/>
      <c r="C7" s="42"/>
      <c r="D7" s="42"/>
      <c r="E7" s="42"/>
      <c r="F7" s="421" t="s">
        <v>339</v>
      </c>
      <c r="G7" s="421" t="s">
        <v>355</v>
      </c>
      <c r="H7" s="421" t="s">
        <v>356</v>
      </c>
      <c r="I7" s="420" t="s">
        <v>341</v>
      </c>
      <c r="J7" s="422" t="s">
        <v>342</v>
      </c>
      <c r="K7" s="421" t="s">
        <v>12</v>
      </c>
      <c r="L7" s="423" t="s">
        <v>357</v>
      </c>
      <c r="M7" s="436" t="s">
        <v>358</v>
      </c>
      <c r="N7" s="434" t="s">
        <v>56</v>
      </c>
      <c r="O7" s="434" t="s">
        <v>362</v>
      </c>
      <c r="P7" s="434" t="s">
        <v>352</v>
      </c>
      <c r="Q7" s="421" t="s">
        <v>344</v>
      </c>
      <c r="R7" s="421" t="s">
        <v>353</v>
      </c>
      <c r="S7" s="1866"/>
      <c r="T7" s="3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ht="13.5" customHeight="1">
      <c r="A8" s="42"/>
      <c r="B8" s="42"/>
      <c r="C8" s="42"/>
      <c r="D8" s="42"/>
      <c r="E8" s="42"/>
      <c r="F8" s="1863">
        <v>81</v>
      </c>
      <c r="G8" s="1863">
        <v>82</v>
      </c>
      <c r="H8" s="1863">
        <v>83</v>
      </c>
      <c r="I8" s="1850">
        <v>84</v>
      </c>
      <c r="J8" s="1849">
        <v>85</v>
      </c>
      <c r="K8" s="1867"/>
      <c r="L8" s="1854">
        <v>86</v>
      </c>
      <c r="M8" s="1782"/>
      <c r="N8" s="1851">
        <v>87</v>
      </c>
      <c r="O8" s="1864">
        <v>55</v>
      </c>
      <c r="P8" s="1859">
        <v>56</v>
      </c>
      <c r="Q8" s="1871">
        <v>57</v>
      </c>
      <c r="R8" s="1849">
        <v>63</v>
      </c>
      <c r="S8" s="1863">
        <v>59</v>
      </c>
      <c r="T8" s="3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>
      <c r="A9" s="43"/>
      <c r="B9" s="43"/>
      <c r="C9" s="43"/>
      <c r="D9" s="43"/>
      <c r="E9" s="43"/>
      <c r="F9" s="1863"/>
      <c r="G9" s="1863"/>
      <c r="H9" s="1863"/>
      <c r="I9" s="1850"/>
      <c r="J9" s="1849"/>
      <c r="K9" s="1867"/>
      <c r="L9" s="1855"/>
      <c r="M9" s="1783"/>
      <c r="N9" s="1852"/>
      <c r="O9" s="1864"/>
      <c r="P9" s="1859"/>
      <c r="Q9" s="1871"/>
      <c r="R9" s="1849"/>
      <c r="S9" s="1863"/>
      <c r="T9" s="3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46.5" customHeight="1">
      <c r="A10" s="42"/>
      <c r="B10" s="42"/>
      <c r="C10" s="42"/>
      <c r="D10" s="42"/>
      <c r="E10" s="42"/>
      <c r="F10" s="522" t="s">
        <v>359</v>
      </c>
      <c r="G10" s="522"/>
      <c r="H10" s="523"/>
      <c r="I10" s="524"/>
      <c r="J10" s="525"/>
      <c r="K10" s="526"/>
      <c r="L10" s="520"/>
      <c r="M10" s="519"/>
      <c r="N10" s="521"/>
      <c r="O10" s="527"/>
      <c r="P10" s="528"/>
      <c r="Q10" s="535"/>
      <c r="R10" s="525"/>
      <c r="S10" s="523"/>
      <c r="T10" s="3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5" customHeight="1">
      <c r="A11" s="55">
        <v>1</v>
      </c>
      <c r="B11" s="57">
        <v>42011</v>
      </c>
      <c r="C11" s="44" t="s">
        <v>199</v>
      </c>
      <c r="D11" s="44" t="s">
        <v>401</v>
      </c>
      <c r="E11" s="505">
        <v>2173.15</v>
      </c>
      <c r="F11" s="507">
        <v>1795.99</v>
      </c>
      <c r="G11" s="505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505">
        <v>377.16</v>
      </c>
      <c r="T11" s="3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5" customHeight="1">
      <c r="A12" s="56">
        <v>2</v>
      </c>
      <c r="B12" s="58">
        <v>42018</v>
      </c>
      <c r="C12" s="45" t="s">
        <v>200</v>
      </c>
      <c r="D12" s="44" t="s">
        <v>401</v>
      </c>
      <c r="E12" s="504">
        <v>4440.7700000000004</v>
      </c>
      <c r="F12" s="508">
        <v>3670.06</v>
      </c>
      <c r="G12" s="504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504">
        <v>770.71</v>
      </c>
      <c r="T12" s="3"/>
    </row>
    <row r="13" spans="1:30" ht="15" customHeight="1">
      <c r="A13" s="56">
        <v>3</v>
      </c>
      <c r="B13" s="58">
        <v>42025</v>
      </c>
      <c r="C13" s="45" t="s">
        <v>201</v>
      </c>
      <c r="D13" s="45" t="s">
        <v>213</v>
      </c>
      <c r="E13" s="504">
        <v>18746.95</v>
      </c>
      <c r="F13" s="508"/>
      <c r="G13" s="504"/>
      <c r="H13" s="45">
        <v>15493.35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504">
        <v>3253.6</v>
      </c>
      <c r="T13" s="3"/>
    </row>
    <row r="14" spans="1:30" ht="15" customHeight="1">
      <c r="A14" s="56">
        <v>4</v>
      </c>
      <c r="B14" s="58">
        <v>42038</v>
      </c>
      <c r="C14" s="45" t="s">
        <v>202</v>
      </c>
      <c r="D14" s="45" t="s">
        <v>402</v>
      </c>
      <c r="E14" s="504">
        <v>394.44</v>
      </c>
      <c r="F14" s="508"/>
      <c r="G14" s="504">
        <v>325.98</v>
      </c>
      <c r="H14" s="45"/>
      <c r="I14" s="45"/>
      <c r="J14" s="45"/>
      <c r="K14" s="45"/>
      <c r="L14" s="46"/>
      <c r="M14" s="45"/>
      <c r="N14" s="45"/>
      <c r="O14" s="45"/>
      <c r="P14" s="45"/>
      <c r="Q14" s="45"/>
      <c r="R14" s="45"/>
      <c r="S14" s="504">
        <v>68.459999999999994</v>
      </c>
      <c r="T14" s="3"/>
    </row>
    <row r="15" spans="1:30" ht="15" customHeight="1">
      <c r="A15" s="56">
        <v>5</v>
      </c>
      <c r="B15" s="58">
        <v>42043</v>
      </c>
      <c r="C15" s="45" t="s">
        <v>207</v>
      </c>
      <c r="D15" s="45" t="s">
        <v>402</v>
      </c>
      <c r="E15" s="504">
        <v>203.97</v>
      </c>
      <c r="F15" s="508"/>
      <c r="G15" s="504">
        <v>186.27</v>
      </c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504">
        <v>17.7</v>
      </c>
      <c r="T15" s="3"/>
    </row>
    <row r="16" spans="1:30" s="570" customFormat="1" ht="15" customHeight="1">
      <c r="A16" s="565">
        <v>6</v>
      </c>
      <c r="B16" s="566">
        <v>42044</v>
      </c>
      <c r="C16" s="511" t="s">
        <v>206</v>
      </c>
      <c r="D16" s="511" t="s">
        <v>13</v>
      </c>
      <c r="E16" s="567">
        <v>-605.9</v>
      </c>
      <c r="F16" s="568">
        <v>-500.74</v>
      </c>
      <c r="G16" s="567"/>
      <c r="H16" s="511"/>
      <c r="I16" s="511"/>
      <c r="J16" s="511">
        <v>500.74</v>
      </c>
      <c r="K16" s="511"/>
      <c r="L16" s="511"/>
      <c r="M16" s="511"/>
      <c r="N16" s="511"/>
      <c r="O16" s="511"/>
      <c r="P16" s="511"/>
      <c r="Q16" s="511"/>
      <c r="R16" s="511">
        <v>105.16</v>
      </c>
      <c r="S16" s="567"/>
      <c r="T16" s="569"/>
    </row>
    <row r="17" spans="1:20" ht="15" customHeight="1">
      <c r="A17" s="56">
        <v>7</v>
      </c>
      <c r="B17" s="58">
        <v>42062</v>
      </c>
      <c r="C17" s="45" t="s">
        <v>203</v>
      </c>
      <c r="D17" s="45" t="s">
        <v>403</v>
      </c>
      <c r="E17" s="504">
        <v>504.82</v>
      </c>
      <c r="F17" s="508"/>
      <c r="G17" s="504">
        <v>417.21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504">
        <v>87.61</v>
      </c>
      <c r="T17" s="3"/>
    </row>
    <row r="18" spans="1:20" ht="15" customHeight="1">
      <c r="A18" s="56">
        <v>8</v>
      </c>
      <c r="B18" s="58">
        <v>42071</v>
      </c>
      <c r="C18" s="45" t="s">
        <v>204</v>
      </c>
      <c r="D18" s="45" t="s">
        <v>402</v>
      </c>
      <c r="E18" s="504">
        <v>61.97</v>
      </c>
      <c r="F18" s="508"/>
      <c r="G18" s="504">
        <v>61.97</v>
      </c>
      <c r="H18" s="45"/>
      <c r="I18" s="45"/>
      <c r="J18" s="45"/>
      <c r="K18" s="45"/>
      <c r="L18" s="45"/>
      <c r="M18" s="45"/>
      <c r="N18" s="45">
        <v>61.97</v>
      </c>
      <c r="O18" s="45"/>
      <c r="P18" s="45">
        <v>13.01</v>
      </c>
      <c r="Q18" s="45"/>
      <c r="R18" s="45"/>
      <c r="S18" s="504">
        <v>13.01</v>
      </c>
      <c r="T18" s="3"/>
    </row>
    <row r="19" spans="1:20" ht="15" customHeight="1">
      <c r="A19" s="56">
        <v>9</v>
      </c>
      <c r="B19" s="58">
        <v>42082</v>
      </c>
      <c r="C19" s="45" t="s">
        <v>205</v>
      </c>
      <c r="D19" s="45" t="s">
        <v>360</v>
      </c>
      <c r="E19" s="504">
        <v>136.54</v>
      </c>
      <c r="F19" s="508">
        <v>136.54</v>
      </c>
      <c r="G19" s="504"/>
      <c r="H19" s="45"/>
      <c r="I19" s="45"/>
      <c r="J19" s="45"/>
      <c r="K19" s="45"/>
      <c r="L19" s="504">
        <v>136.54</v>
      </c>
      <c r="M19" s="45"/>
      <c r="N19" s="45"/>
      <c r="O19" s="45">
        <v>8.1999999999999993</v>
      </c>
      <c r="P19" s="45"/>
      <c r="Q19" s="45"/>
      <c r="R19" s="45"/>
      <c r="S19" s="504">
        <v>8.1999999999999993</v>
      </c>
      <c r="T19" s="3"/>
    </row>
    <row r="20" spans="1:20" ht="15" customHeight="1">
      <c r="A20" s="56">
        <v>10</v>
      </c>
      <c r="B20" s="58">
        <v>42094</v>
      </c>
      <c r="C20" s="45" t="s">
        <v>207</v>
      </c>
      <c r="D20" s="45" t="s">
        <v>402</v>
      </c>
      <c r="E20" s="504">
        <v>19496.830000000002</v>
      </c>
      <c r="F20" s="508"/>
      <c r="G20" s="504">
        <v>17804.95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504">
        <v>1691.88</v>
      </c>
      <c r="T20" s="3"/>
    </row>
    <row r="21" spans="1:20" ht="15" customHeight="1">
      <c r="A21" s="56">
        <v>11</v>
      </c>
      <c r="B21" s="58"/>
      <c r="C21" s="45"/>
      <c r="D21" s="45"/>
      <c r="E21" s="504"/>
      <c r="F21" s="508"/>
      <c r="G21" s="504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504"/>
      <c r="T21" s="3"/>
    </row>
    <row r="22" spans="1:20" ht="15" customHeight="1">
      <c r="A22" s="56">
        <v>12</v>
      </c>
      <c r="B22" s="58"/>
      <c r="C22" s="45"/>
      <c r="D22" s="45"/>
      <c r="E22" s="504"/>
      <c r="F22" s="508"/>
      <c r="G22" s="504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504"/>
      <c r="T22" s="3"/>
    </row>
    <row r="23" spans="1:20" ht="15" customHeight="1">
      <c r="A23" s="56">
        <v>13</v>
      </c>
      <c r="B23" s="58"/>
      <c r="C23" s="45"/>
      <c r="D23" s="45"/>
      <c r="E23" s="504"/>
      <c r="F23" s="508"/>
      <c r="G23" s="504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504"/>
      <c r="T23" s="3"/>
    </row>
    <row r="24" spans="1:20" ht="15" customHeight="1">
      <c r="A24" s="56">
        <v>14</v>
      </c>
      <c r="B24" s="58"/>
      <c r="C24" s="45"/>
      <c r="D24" s="45"/>
      <c r="E24" s="504"/>
      <c r="F24" s="508"/>
      <c r="G24" s="504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504"/>
      <c r="T24" s="3"/>
    </row>
    <row r="25" spans="1:20" ht="15" customHeight="1">
      <c r="A25" s="56">
        <v>15</v>
      </c>
      <c r="B25" s="58"/>
      <c r="C25" s="45"/>
      <c r="D25" s="45"/>
      <c r="E25" s="504"/>
      <c r="F25" s="508"/>
      <c r="G25" s="50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504"/>
      <c r="T25" s="3"/>
    </row>
    <row r="26" spans="1:20" ht="15" customHeight="1">
      <c r="A26" s="50">
        <v>16</v>
      </c>
      <c r="B26" s="59"/>
      <c r="C26" s="48"/>
      <c r="D26" s="48"/>
      <c r="E26" s="506"/>
      <c r="F26" s="509"/>
      <c r="G26" s="506"/>
      <c r="H26" s="48"/>
      <c r="I26" s="48"/>
      <c r="J26" s="48"/>
      <c r="K26" s="48"/>
      <c r="L26" s="48"/>
      <c r="M26" s="48"/>
      <c r="N26" s="47"/>
      <c r="O26" s="48"/>
      <c r="P26" s="48"/>
      <c r="Q26" s="48"/>
      <c r="R26" s="48"/>
      <c r="S26" s="506"/>
      <c r="T26" s="3"/>
    </row>
    <row r="27" spans="1:20" ht="15" customHeight="1">
      <c r="A27" s="53"/>
      <c r="B27" s="53"/>
      <c r="C27" s="54" t="s">
        <v>28</v>
      </c>
      <c r="D27" s="54"/>
      <c r="E27" s="562">
        <f t="shared" ref="E27:J27" si="0">SUM(E11:E26)</f>
        <v>45553.540000000008</v>
      </c>
      <c r="F27" s="53">
        <f t="shared" si="0"/>
        <v>5101.8500000000004</v>
      </c>
      <c r="G27" s="53">
        <f t="shared" si="0"/>
        <v>18796.38</v>
      </c>
      <c r="H27" s="53">
        <f t="shared" si="0"/>
        <v>15493.35</v>
      </c>
      <c r="I27" s="53">
        <f t="shared" si="0"/>
        <v>0</v>
      </c>
      <c r="J27" s="53">
        <f t="shared" si="0"/>
        <v>500.74</v>
      </c>
      <c r="K27" s="53"/>
      <c r="L27" s="53">
        <f>SUM(L11:L26)</f>
        <v>136.54</v>
      </c>
      <c r="M27" s="53"/>
      <c r="N27" s="518">
        <f>SUM(N11:N26)</f>
        <v>61.97</v>
      </c>
      <c r="O27" s="516">
        <f t="shared" ref="O27:R27" si="1">SUM(O11:O26)</f>
        <v>8.1999999999999993</v>
      </c>
      <c r="P27" s="516">
        <f t="shared" si="1"/>
        <v>13.01</v>
      </c>
      <c r="Q27" s="53"/>
      <c r="R27" s="516">
        <f t="shared" si="1"/>
        <v>105.16</v>
      </c>
      <c r="S27" s="516">
        <f>SUM(S11:S26)</f>
        <v>6288.33</v>
      </c>
      <c r="T27" s="63"/>
    </row>
    <row r="28" spans="1:20" ht="15" customHeight="1">
      <c r="A28" s="1856" t="s">
        <v>59</v>
      </c>
      <c r="B28" s="1857"/>
      <c r="C28" s="1858"/>
      <c r="D28" s="471"/>
      <c r="E28" s="51" t="s">
        <v>60</v>
      </c>
      <c r="F28" s="51" t="s">
        <v>414</v>
      </c>
      <c r="G28" s="51" t="s">
        <v>415</v>
      </c>
      <c r="H28" s="51" t="s">
        <v>416</v>
      </c>
      <c r="I28" s="52" t="s">
        <v>61</v>
      </c>
      <c r="J28" s="52" t="s">
        <v>418</v>
      </c>
      <c r="K28" s="52"/>
      <c r="L28" s="52" t="s">
        <v>424</v>
      </c>
      <c r="M28" s="52" t="s">
        <v>61</v>
      </c>
      <c r="N28" s="574" t="s">
        <v>419</v>
      </c>
      <c r="O28" s="51" t="s">
        <v>420</v>
      </c>
      <c r="P28" s="51" t="s">
        <v>421</v>
      </c>
      <c r="Q28" s="51" t="s">
        <v>422</v>
      </c>
      <c r="R28" s="51" t="s">
        <v>423</v>
      </c>
      <c r="S28" s="51" t="s">
        <v>417</v>
      </c>
      <c r="T28" s="63"/>
    </row>
    <row r="29" spans="1:20">
      <c r="S29" s="2"/>
      <c r="T29" s="4"/>
    </row>
    <row r="30" spans="1:20">
      <c r="F30" s="1624" t="s">
        <v>413</v>
      </c>
      <c r="G30" s="1624"/>
      <c r="H30">
        <f>SUM(F27,G27,H27,S27)</f>
        <v>45679.91</v>
      </c>
      <c r="S30" s="4"/>
      <c r="T30" s="4"/>
    </row>
    <row r="31" spans="1:20" ht="15.75" thickBot="1">
      <c r="F31" s="1853" t="s">
        <v>411</v>
      </c>
      <c r="G31" s="1853"/>
      <c r="H31" s="194">
        <f>SUM(O27,P27,R27)</f>
        <v>126.37</v>
      </c>
      <c r="S31" s="4"/>
      <c r="T31" s="4"/>
    </row>
    <row r="32" spans="1:20" ht="15.75" thickTop="1">
      <c r="F32" s="542" t="s">
        <v>28</v>
      </c>
      <c r="H32" s="561">
        <f>SUM(H30,-H31)</f>
        <v>45553.54</v>
      </c>
      <c r="O32" s="469"/>
      <c r="S32" s="4"/>
      <c r="T32" s="4"/>
    </row>
    <row r="33" spans="4:20">
      <c r="D33" s="510"/>
      <c r="F33" s="166"/>
      <c r="O33" s="469"/>
      <c r="S33" s="4"/>
      <c r="T33" s="4"/>
    </row>
  </sheetData>
  <mergeCells count="23">
    <mergeCell ref="A28:C28"/>
    <mergeCell ref="P8:P9"/>
    <mergeCell ref="A4:S5"/>
    <mergeCell ref="F8:F9"/>
    <mergeCell ref="G8:G9"/>
    <mergeCell ref="H8:H9"/>
    <mergeCell ref="S8:S9"/>
    <mergeCell ref="O8:O9"/>
    <mergeCell ref="S6:S7"/>
    <mergeCell ref="J8:J9"/>
    <mergeCell ref="K8:K9"/>
    <mergeCell ref="F6:H6"/>
    <mergeCell ref="Q8:Q9"/>
    <mergeCell ref="I6:J6"/>
    <mergeCell ref="L6:N6"/>
    <mergeCell ref="O6:R6"/>
    <mergeCell ref="R8:R9"/>
    <mergeCell ref="I8:I9"/>
    <mergeCell ref="N8:N9"/>
    <mergeCell ref="F30:G30"/>
    <mergeCell ref="F31:G31"/>
    <mergeCell ref="L8:L9"/>
    <mergeCell ref="M8:M9"/>
  </mergeCells>
  <pageMargins left="0.25" right="0.25" top="0.75" bottom="0.75" header="0.3" footer="0.3"/>
  <pageSetup paperSize="9" scale="75" orientation="landscape" horizontalDpi="30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4:O31"/>
  <sheetViews>
    <sheetView topLeftCell="A19" workbookViewId="0">
      <selection activeCell="I31" sqref="I31"/>
    </sheetView>
  </sheetViews>
  <sheetFormatPr baseColWidth="10" defaultRowHeight="15"/>
  <cols>
    <col min="1" max="1" width="7.42578125" customWidth="1"/>
    <col min="2" max="2" width="7.140625" customWidth="1"/>
    <col min="3" max="3" width="12.5703125" customWidth="1"/>
    <col min="4" max="4" width="13.42578125" style="552" customWidth="1"/>
    <col min="5" max="5" width="12" customWidth="1"/>
    <col min="6" max="6" width="13.7109375" customWidth="1"/>
    <col min="7" max="7" width="11.28515625" customWidth="1"/>
    <col min="8" max="8" width="12.85546875" customWidth="1"/>
    <col min="9" max="10" width="12.28515625" customWidth="1"/>
    <col min="11" max="11" width="10.85546875" customWidth="1"/>
    <col min="12" max="12" width="10" customWidth="1"/>
    <col min="13" max="13" width="12" bestFit="1" customWidth="1"/>
  </cols>
  <sheetData>
    <row r="4" spans="1:15">
      <c r="A4" s="1860" t="s">
        <v>335</v>
      </c>
      <c r="B4" s="1794"/>
      <c r="C4" s="1794"/>
      <c r="D4" s="1794"/>
      <c r="E4" s="1794"/>
      <c r="F4" s="1794"/>
      <c r="G4" s="1794"/>
      <c r="H4" s="1794"/>
      <c r="I4" s="1794"/>
      <c r="J4" s="1794"/>
      <c r="K4" s="1794"/>
      <c r="L4" s="1794"/>
      <c r="M4" s="1794"/>
      <c r="N4" s="1861"/>
      <c r="O4" s="65"/>
    </row>
    <row r="5" spans="1:15">
      <c r="A5" s="1759"/>
      <c r="B5" s="1760"/>
      <c r="C5" s="1760"/>
      <c r="D5" s="1760"/>
      <c r="E5" s="1760"/>
      <c r="F5" s="1760"/>
      <c r="G5" s="1760"/>
      <c r="H5" s="1760"/>
      <c r="I5" s="1760"/>
      <c r="J5" s="1760"/>
      <c r="K5" s="1760"/>
      <c r="L5" s="1760"/>
      <c r="M5" s="1760"/>
      <c r="N5" s="1862"/>
      <c r="O5" s="65"/>
    </row>
    <row r="6" spans="1:15" ht="22.5" customHeight="1">
      <c r="A6" s="426" t="s">
        <v>54</v>
      </c>
      <c r="B6" s="426" t="s">
        <v>55</v>
      </c>
      <c r="C6" s="427" t="s">
        <v>6</v>
      </c>
      <c r="D6" s="543" t="s">
        <v>19</v>
      </c>
      <c r="E6" s="1889"/>
      <c r="F6" s="1889"/>
      <c r="G6" s="1889"/>
      <c r="H6" s="1890"/>
      <c r="I6" s="1883" t="s">
        <v>351</v>
      </c>
      <c r="J6" s="1890"/>
      <c r="K6" s="1882" t="s">
        <v>64</v>
      </c>
      <c r="L6" s="1883"/>
      <c r="M6" s="1882" t="s">
        <v>65</v>
      </c>
      <c r="N6" s="1882"/>
      <c r="O6" s="3"/>
    </row>
    <row r="7" spans="1:15" ht="78.75">
      <c r="A7" s="428"/>
      <c r="B7" s="428"/>
      <c r="C7" s="428"/>
      <c r="D7" s="548"/>
      <c r="E7" s="429">
        <v>0.06</v>
      </c>
      <c r="F7" s="429">
        <v>0.12</v>
      </c>
      <c r="G7" s="429">
        <v>0.21</v>
      </c>
      <c r="H7" s="424" t="s">
        <v>350</v>
      </c>
      <c r="I7" s="424" t="s">
        <v>62</v>
      </c>
      <c r="J7" s="424" t="s">
        <v>336</v>
      </c>
      <c r="K7" s="424" t="s">
        <v>62</v>
      </c>
      <c r="L7" s="425" t="s">
        <v>63</v>
      </c>
      <c r="M7" s="424" t="s">
        <v>337</v>
      </c>
      <c r="N7" s="424" t="s">
        <v>338</v>
      </c>
      <c r="O7" s="60"/>
    </row>
    <row r="8" spans="1:15">
      <c r="A8" s="42"/>
      <c r="B8" s="42"/>
      <c r="C8" s="42"/>
      <c r="D8" s="549"/>
      <c r="E8" s="1886" t="s">
        <v>66</v>
      </c>
      <c r="F8" s="1886" t="s">
        <v>67</v>
      </c>
      <c r="G8" s="1886" t="s">
        <v>68</v>
      </c>
      <c r="H8" s="1884">
        <v>45</v>
      </c>
      <c r="I8" s="1885">
        <v>46</v>
      </c>
      <c r="J8" s="1885">
        <v>47</v>
      </c>
      <c r="K8" s="1887">
        <v>48</v>
      </c>
      <c r="L8" s="1888">
        <v>49</v>
      </c>
      <c r="M8" s="1886">
        <v>54</v>
      </c>
      <c r="N8" s="1878">
        <v>64</v>
      </c>
      <c r="O8" s="60"/>
    </row>
    <row r="9" spans="1:15">
      <c r="A9" s="43"/>
      <c r="B9" s="43"/>
      <c r="C9" s="43"/>
      <c r="D9" s="550"/>
      <c r="E9" s="1886"/>
      <c r="F9" s="1886"/>
      <c r="G9" s="1886"/>
      <c r="H9" s="1884"/>
      <c r="I9" s="1885"/>
      <c r="J9" s="1885"/>
      <c r="K9" s="1887"/>
      <c r="L9" s="1888"/>
      <c r="M9" s="1886"/>
      <c r="N9" s="1878"/>
      <c r="O9" s="3"/>
    </row>
    <row r="10" spans="1:15">
      <c r="A10" s="55">
        <v>11</v>
      </c>
      <c r="B10" s="413"/>
      <c r="C10" s="413" t="s">
        <v>305</v>
      </c>
      <c r="D10" s="554">
        <v>1484.77</v>
      </c>
      <c r="E10" s="131"/>
      <c r="F10" s="131"/>
      <c r="G10" s="131">
        <v>1227.08</v>
      </c>
      <c r="H10" s="44"/>
      <c r="I10" s="44"/>
      <c r="J10" s="44"/>
      <c r="K10" s="44"/>
      <c r="L10" s="61"/>
      <c r="M10" s="131">
        <v>257.69</v>
      </c>
      <c r="N10" s="44"/>
      <c r="O10" s="3"/>
    </row>
    <row r="11" spans="1:15">
      <c r="A11" s="56">
        <v>12</v>
      </c>
      <c r="B11" s="45"/>
      <c r="C11" s="45" t="s">
        <v>306</v>
      </c>
      <c r="D11" s="551">
        <v>749.87</v>
      </c>
      <c r="E11" s="132"/>
      <c r="F11" s="132"/>
      <c r="G11" s="131">
        <v>619.73</v>
      </c>
      <c r="H11" s="45"/>
      <c r="I11" s="45"/>
      <c r="J11" s="45"/>
      <c r="K11" s="45"/>
      <c r="L11" s="62"/>
      <c r="M11" s="131">
        <f>(G11*0.21)</f>
        <v>130.14330000000001</v>
      </c>
      <c r="N11" s="45"/>
      <c r="O11" s="3"/>
    </row>
    <row r="12" spans="1:15">
      <c r="A12" s="56">
        <v>13</v>
      </c>
      <c r="B12" s="45"/>
      <c r="C12" s="45" t="s">
        <v>307</v>
      </c>
      <c r="D12" s="551">
        <v>1115.52</v>
      </c>
      <c r="E12" s="132"/>
      <c r="F12" s="132"/>
      <c r="G12" s="132"/>
      <c r="H12" s="45">
        <v>1115.52</v>
      </c>
      <c r="I12" s="45"/>
      <c r="J12" s="45"/>
      <c r="K12" s="45"/>
      <c r="L12" s="62"/>
      <c r="M12" s="132"/>
      <c r="N12" s="45"/>
      <c r="O12" s="3"/>
    </row>
    <row r="13" spans="1:15">
      <c r="A13" s="56">
        <v>14</v>
      </c>
      <c r="B13" s="45"/>
      <c r="C13" s="45" t="s">
        <v>305</v>
      </c>
      <c r="D13" s="555">
        <v>-593.9</v>
      </c>
      <c r="E13" s="132"/>
      <c r="F13" s="132"/>
      <c r="G13" s="131"/>
      <c r="H13" s="46"/>
      <c r="I13" s="45"/>
      <c r="J13" s="45"/>
      <c r="K13" s="45"/>
      <c r="L13" s="512">
        <v>490.83</v>
      </c>
      <c r="M13" s="131"/>
      <c r="N13" s="511">
        <v>103.07</v>
      </c>
      <c r="O13" s="3"/>
    </row>
    <row r="14" spans="1:15">
      <c r="A14" s="56">
        <v>15</v>
      </c>
      <c r="B14" s="45"/>
      <c r="C14" s="45" t="s">
        <v>311</v>
      </c>
      <c r="D14" s="551">
        <v>1487.36</v>
      </c>
      <c r="E14" s="132"/>
      <c r="F14" s="132"/>
      <c r="G14" s="132"/>
      <c r="H14" s="45"/>
      <c r="I14" s="45">
        <v>1487.36</v>
      </c>
      <c r="J14" s="45"/>
      <c r="K14" s="45"/>
      <c r="L14" s="62"/>
      <c r="M14" s="132"/>
      <c r="N14" s="45"/>
      <c r="O14" s="3"/>
    </row>
    <row r="15" spans="1:15">
      <c r="A15" s="56">
        <v>16</v>
      </c>
      <c r="B15" s="58"/>
      <c r="C15" s="45" t="s">
        <v>313</v>
      </c>
      <c r="D15" s="571">
        <v>3121.67</v>
      </c>
      <c r="E15" s="132">
        <v>2944.97</v>
      </c>
      <c r="F15" s="132"/>
      <c r="G15" s="132"/>
      <c r="H15" s="45"/>
      <c r="I15" s="45"/>
      <c r="J15" s="45"/>
      <c r="K15" s="45"/>
      <c r="L15" s="62"/>
      <c r="M15" s="132">
        <v>176.7</v>
      </c>
      <c r="N15" s="45"/>
      <c r="O15" s="3"/>
    </row>
    <row r="16" spans="1:15">
      <c r="A16" s="513">
        <v>17</v>
      </c>
      <c r="B16" s="57">
        <v>42010</v>
      </c>
      <c r="C16" s="44" t="s">
        <v>305</v>
      </c>
      <c r="D16" s="556">
        <v>1493.77</v>
      </c>
      <c r="E16" s="131"/>
      <c r="F16" s="131"/>
      <c r="G16" s="131">
        <v>1234.52</v>
      </c>
      <c r="H16" s="45"/>
      <c r="I16" s="45"/>
      <c r="J16" s="45"/>
      <c r="K16" s="45"/>
      <c r="L16" s="62"/>
      <c r="M16" s="131">
        <v>259.25</v>
      </c>
      <c r="N16" s="45"/>
      <c r="O16" s="3"/>
    </row>
    <row r="17" spans="1:15">
      <c r="A17" s="56">
        <v>18</v>
      </c>
      <c r="B17" s="58"/>
      <c r="C17" s="45" t="s">
        <v>306</v>
      </c>
      <c r="D17" s="571">
        <v>749.57</v>
      </c>
      <c r="E17" s="132"/>
      <c r="F17" s="132"/>
      <c r="G17" s="131">
        <v>619.73</v>
      </c>
      <c r="H17" s="45"/>
      <c r="I17" s="45"/>
      <c r="J17" s="45"/>
      <c r="K17" s="45"/>
      <c r="L17" s="62"/>
      <c r="M17" s="131">
        <v>130.13999999999999</v>
      </c>
      <c r="N17" s="45"/>
      <c r="O17" s="3"/>
    </row>
    <row r="18" spans="1:15">
      <c r="A18" s="56">
        <v>19</v>
      </c>
      <c r="B18" s="58"/>
      <c r="C18" s="45" t="s">
        <v>314</v>
      </c>
      <c r="D18" s="551">
        <v>1933.57</v>
      </c>
      <c r="E18" s="132"/>
      <c r="F18" s="132"/>
      <c r="G18" s="132"/>
      <c r="H18" s="45">
        <v>1933.57</v>
      </c>
      <c r="I18" s="45"/>
      <c r="J18" s="45"/>
      <c r="K18" s="45"/>
      <c r="L18" s="62"/>
      <c r="M18" s="132"/>
      <c r="N18" s="45"/>
      <c r="O18" s="3"/>
    </row>
    <row r="19" spans="1:15">
      <c r="A19" s="56">
        <v>20</v>
      </c>
      <c r="B19" s="58"/>
      <c r="C19" s="45" t="s">
        <v>315</v>
      </c>
      <c r="D19" s="551">
        <v>10783.37</v>
      </c>
      <c r="E19" s="132"/>
      <c r="F19" s="132"/>
      <c r="G19" s="132"/>
      <c r="H19" s="45"/>
      <c r="I19" s="45"/>
      <c r="J19" s="45">
        <v>10783.37</v>
      </c>
      <c r="K19" s="45"/>
      <c r="L19" s="62"/>
      <c r="M19" s="132"/>
      <c r="N19" s="45"/>
      <c r="O19" s="3"/>
    </row>
    <row r="20" spans="1:15">
      <c r="A20" s="56">
        <v>21</v>
      </c>
      <c r="B20" s="58"/>
      <c r="C20" s="45" t="s">
        <v>306</v>
      </c>
      <c r="D20" s="551">
        <v>8908.5499999999993</v>
      </c>
      <c r="E20" s="132"/>
      <c r="F20" s="132"/>
      <c r="G20" s="131">
        <v>7362.44</v>
      </c>
      <c r="H20" s="45"/>
      <c r="I20" s="45"/>
      <c r="J20" s="45"/>
      <c r="K20" s="45"/>
      <c r="L20" s="62"/>
      <c r="M20" s="131">
        <v>1546.11</v>
      </c>
      <c r="N20" s="45"/>
      <c r="O20" s="3"/>
    </row>
    <row r="21" spans="1:15">
      <c r="A21" s="56">
        <v>12</v>
      </c>
      <c r="B21" s="58"/>
      <c r="C21" s="45"/>
      <c r="D21" s="551"/>
      <c r="E21" s="132"/>
      <c r="F21" s="132"/>
      <c r="G21" s="132"/>
      <c r="H21" s="45"/>
      <c r="I21" s="45"/>
      <c r="J21" s="45"/>
      <c r="K21" s="45"/>
      <c r="L21" s="62"/>
      <c r="M21" s="132"/>
      <c r="N21" s="45"/>
      <c r="O21" s="3"/>
    </row>
    <row r="22" spans="1:15">
      <c r="A22" s="56">
        <v>13</v>
      </c>
      <c r="B22" s="58"/>
      <c r="C22" s="45"/>
      <c r="D22" s="551"/>
      <c r="E22" s="132"/>
      <c r="F22" s="132"/>
      <c r="G22" s="132"/>
      <c r="H22" s="45"/>
      <c r="I22" s="45"/>
      <c r="J22" s="45"/>
      <c r="K22" s="45"/>
      <c r="L22" s="62"/>
      <c r="M22" s="45"/>
      <c r="N22" s="45"/>
      <c r="O22" s="3"/>
    </row>
    <row r="23" spans="1:15">
      <c r="A23" s="56">
        <v>14</v>
      </c>
      <c r="B23" s="58"/>
      <c r="C23" s="45"/>
      <c r="D23" s="551"/>
      <c r="E23" s="132"/>
      <c r="F23" s="132"/>
      <c r="G23" s="132"/>
      <c r="H23" s="45"/>
      <c r="I23" s="45"/>
      <c r="J23" s="45"/>
      <c r="K23" s="45"/>
      <c r="L23" s="62"/>
      <c r="M23" s="45"/>
      <c r="N23" s="45"/>
      <c r="O23" s="3"/>
    </row>
    <row r="24" spans="1:15">
      <c r="A24" s="56">
        <v>15</v>
      </c>
      <c r="B24" s="58"/>
      <c r="C24" s="45"/>
      <c r="D24" s="551"/>
      <c r="E24" s="132"/>
      <c r="F24" s="132"/>
      <c r="G24" s="132"/>
      <c r="H24" s="45"/>
      <c r="I24" s="45"/>
      <c r="J24" s="45"/>
      <c r="K24" s="45"/>
      <c r="L24" s="62"/>
      <c r="M24" s="45"/>
      <c r="N24" s="45"/>
      <c r="O24" s="3"/>
    </row>
    <row r="25" spans="1:15">
      <c r="A25" s="49">
        <v>16</v>
      </c>
      <c r="B25" s="67"/>
      <c r="C25" s="47"/>
      <c r="D25" s="557"/>
      <c r="E25" s="414"/>
      <c r="F25" s="414"/>
      <c r="G25" s="414"/>
      <c r="H25" s="47"/>
      <c r="I25" s="47"/>
      <c r="J25" s="47"/>
      <c r="K25" s="47"/>
      <c r="L25" s="68"/>
      <c r="M25" s="47"/>
      <c r="N25" s="47"/>
      <c r="O25" s="3"/>
    </row>
    <row r="26" spans="1:15" s="419" customFormat="1" ht="12.75">
      <c r="A26" s="415"/>
      <c r="B26" s="415"/>
      <c r="C26" s="416" t="s">
        <v>28</v>
      </c>
      <c r="D26" s="560">
        <f>SUM(D10:D25)</f>
        <v>31234.12</v>
      </c>
      <c r="E26" s="417">
        <f>SUM(E10:E25)</f>
        <v>2944.97</v>
      </c>
      <c r="F26" s="415"/>
      <c r="G26" s="417">
        <f>SUM(G10:G25)</f>
        <v>11063.5</v>
      </c>
      <c r="H26" s="415">
        <f>SUM(H10:H25)</f>
        <v>3049.09</v>
      </c>
      <c r="I26" s="417">
        <f>SUM(I10:I25)</f>
        <v>1487.36</v>
      </c>
      <c r="J26" s="417">
        <f>SUM(J10:J25)</f>
        <v>10783.37</v>
      </c>
      <c r="K26" s="417">
        <f t="shared" ref="K26:N26" si="0">SUM(K10:K25)</f>
        <v>0</v>
      </c>
      <c r="L26" s="417">
        <f t="shared" si="0"/>
        <v>490.83</v>
      </c>
      <c r="M26" s="517">
        <f>SUM(M10:M25)</f>
        <v>2500.0333000000001</v>
      </c>
      <c r="N26" s="517">
        <f t="shared" si="0"/>
        <v>103.07</v>
      </c>
      <c r="O26" s="418"/>
    </row>
    <row r="27" spans="1:15" ht="15.75">
      <c r="A27" s="1879" t="s">
        <v>59</v>
      </c>
      <c r="B27" s="1880"/>
      <c r="C27" s="1881"/>
      <c r="D27" s="69" t="s">
        <v>60</v>
      </c>
      <c r="E27" s="69" t="s">
        <v>427</v>
      </c>
      <c r="F27" s="69" t="s">
        <v>428</v>
      </c>
      <c r="G27" s="69" t="s">
        <v>429</v>
      </c>
      <c r="H27" s="70" t="s">
        <v>430</v>
      </c>
      <c r="I27" s="70" t="s">
        <v>431</v>
      </c>
      <c r="J27" s="70" t="s">
        <v>432</v>
      </c>
      <c r="K27" s="69" t="s">
        <v>433</v>
      </c>
      <c r="L27" s="576" t="s">
        <v>434</v>
      </c>
      <c r="M27" s="69" t="s">
        <v>435</v>
      </c>
      <c r="N27" s="69" t="s">
        <v>436</v>
      </c>
      <c r="O27" s="66"/>
    </row>
    <row r="28" spans="1:15">
      <c r="N28" s="2"/>
      <c r="O28" s="4"/>
    </row>
    <row r="29" spans="1:15">
      <c r="E29" s="573"/>
      <c r="F29" s="546">
        <f>SUM(E26,F26,G26,H26,I26,J26,M26)</f>
        <v>31828.3233</v>
      </c>
    </row>
    <row r="30" spans="1:15" ht="15.75" thickBot="1">
      <c r="D30" s="553"/>
      <c r="E30" s="558" t="s">
        <v>411</v>
      </c>
      <c r="F30" s="558">
        <f>SUM(K26,L26,N26)</f>
        <v>593.9</v>
      </c>
      <c r="N30" s="805"/>
    </row>
    <row r="31" spans="1:15" ht="15.75" thickTop="1">
      <c r="E31" t="s">
        <v>412</v>
      </c>
      <c r="F31" s="559">
        <f>SUM(F29,-F30)</f>
        <v>31234.423299999999</v>
      </c>
    </row>
  </sheetData>
  <mergeCells count="16">
    <mergeCell ref="A4:N5"/>
    <mergeCell ref="N8:N9"/>
    <mergeCell ref="A27:C27"/>
    <mergeCell ref="K6:L6"/>
    <mergeCell ref="M6:N6"/>
    <mergeCell ref="H8:H9"/>
    <mergeCell ref="I8:I9"/>
    <mergeCell ref="E8:E9"/>
    <mergeCell ref="F8:F9"/>
    <mergeCell ref="G8:G9"/>
    <mergeCell ref="J8:J9"/>
    <mergeCell ref="K8:K9"/>
    <mergeCell ref="L8:L9"/>
    <mergeCell ref="M8:M9"/>
    <mergeCell ref="E6:H6"/>
    <mergeCell ref="I6:J6"/>
  </mergeCells>
  <pageMargins left="0.25" right="0.25" top="0.75" bottom="0.75" header="0.3" footer="0.3"/>
  <pageSetup paperSize="9" scale="80" orientation="landscape" horizontalDpi="30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129"/>
  <sheetViews>
    <sheetView topLeftCell="A88" zoomScale="85" zoomScaleNormal="85" workbookViewId="0">
      <selection activeCell="R98" sqref="R98"/>
    </sheetView>
  </sheetViews>
  <sheetFormatPr baseColWidth="10" defaultRowHeight="20.25"/>
  <cols>
    <col min="1" max="1" width="3.42578125" customWidth="1"/>
    <col min="2" max="2" width="4.85546875" style="76" customWidth="1"/>
    <col min="7" max="7" width="7.7109375" customWidth="1"/>
    <col min="8" max="8" width="8.5703125" customWidth="1"/>
    <col min="9" max="9" width="11.42578125" style="583"/>
    <col min="14" max="14" width="6.28515625" style="80" customWidth="1"/>
    <col min="16" max="16" width="11.42578125" style="74"/>
  </cols>
  <sheetData>
    <row r="1" spans="1:16" ht="18.600000000000001" customHeight="1">
      <c r="A1" s="1901" t="s">
        <v>108</v>
      </c>
      <c r="B1" s="85"/>
      <c r="C1" s="2"/>
      <c r="D1" s="2"/>
      <c r="E1" s="2"/>
      <c r="F1" s="2"/>
      <c r="G1" s="2"/>
      <c r="H1" s="2"/>
      <c r="I1" s="1910" t="s">
        <v>76</v>
      </c>
      <c r="J1" s="1910"/>
      <c r="K1" s="1910"/>
      <c r="L1" s="1910"/>
      <c r="M1" s="1910"/>
      <c r="N1" s="1911"/>
      <c r="O1" s="75"/>
      <c r="P1" s="75"/>
    </row>
    <row r="2" spans="1:16" ht="18.600000000000001" customHeight="1">
      <c r="A2" s="1902"/>
      <c r="B2" s="1906" t="s">
        <v>70</v>
      </c>
      <c r="C2" s="1907"/>
      <c r="D2" s="1907"/>
      <c r="E2" s="1907"/>
      <c r="F2" s="1907"/>
      <c r="G2" s="1907"/>
      <c r="H2" s="1908"/>
      <c r="I2" s="577" t="s">
        <v>77</v>
      </c>
      <c r="J2" s="4"/>
      <c r="K2" s="4"/>
      <c r="L2" s="4"/>
      <c r="M2" s="4"/>
      <c r="N2" s="87"/>
    </row>
    <row r="3" spans="1:16" ht="18.600000000000001" customHeight="1">
      <c r="A3" s="1902"/>
      <c r="B3" s="1896"/>
      <c r="C3" s="1897"/>
      <c r="D3" s="1897"/>
      <c r="E3" s="1897"/>
      <c r="F3" s="1897"/>
      <c r="G3" s="1897"/>
      <c r="H3" s="1898"/>
      <c r="I3" s="577"/>
      <c r="J3" s="4"/>
      <c r="K3" s="4"/>
      <c r="L3" s="4"/>
      <c r="M3" s="4"/>
      <c r="N3" s="87"/>
    </row>
    <row r="4" spans="1:16" ht="18.600000000000001" customHeight="1">
      <c r="A4" s="1902"/>
      <c r="B4" s="1896"/>
      <c r="C4" s="1897"/>
      <c r="D4" s="1897"/>
      <c r="E4" s="1897"/>
      <c r="F4" s="1897"/>
      <c r="G4" s="1897"/>
      <c r="H4" s="1898"/>
      <c r="I4" s="577"/>
      <c r="J4" s="4" t="s">
        <v>78</v>
      </c>
      <c r="K4" s="4"/>
      <c r="L4" s="64"/>
      <c r="M4" s="79"/>
      <c r="N4" s="81"/>
    </row>
    <row r="5" spans="1:16" ht="18.600000000000001" customHeight="1">
      <c r="A5" s="1902"/>
      <c r="B5" s="1896"/>
      <c r="C5" s="1897"/>
      <c r="D5" s="1897"/>
      <c r="E5" s="1897"/>
      <c r="F5" s="1897"/>
      <c r="G5" s="1897"/>
      <c r="H5" s="1898"/>
      <c r="I5" s="577"/>
      <c r="J5" s="4"/>
      <c r="K5" s="4"/>
      <c r="L5" s="4"/>
      <c r="M5" s="4"/>
      <c r="N5" s="87"/>
    </row>
    <row r="6" spans="1:16" ht="18.600000000000001" customHeight="1">
      <c r="A6" s="1902"/>
      <c r="B6" s="1896"/>
      <c r="C6" s="1897"/>
      <c r="D6" s="1897"/>
      <c r="E6" s="1897"/>
      <c r="F6" s="1897"/>
      <c r="G6" s="1897"/>
      <c r="H6" s="1898"/>
      <c r="I6" s="577"/>
      <c r="J6" s="4" t="s">
        <v>79</v>
      </c>
      <c r="K6" s="4"/>
      <c r="L6" s="64"/>
      <c r="M6" s="79"/>
      <c r="N6" s="81"/>
    </row>
    <row r="7" spans="1:16" ht="18.600000000000001" customHeight="1">
      <c r="A7" s="1902"/>
      <c r="B7" s="1899" t="s">
        <v>71</v>
      </c>
      <c r="C7" s="1900"/>
      <c r="D7" s="1900"/>
      <c r="E7" s="1900"/>
      <c r="F7" s="73"/>
      <c r="G7" s="73"/>
      <c r="H7" s="72"/>
      <c r="I7" s="1615" t="s">
        <v>80</v>
      </c>
      <c r="J7" s="1616"/>
      <c r="K7" s="4"/>
      <c r="L7" s="4"/>
      <c r="M7" s="4"/>
      <c r="N7" s="84"/>
    </row>
    <row r="8" spans="1:16" ht="18.600000000000001" customHeight="1">
      <c r="A8" s="1902"/>
      <c r="B8" s="1912" t="s">
        <v>134</v>
      </c>
      <c r="C8" s="1913"/>
      <c r="D8" s="1913"/>
      <c r="E8" s="1913"/>
      <c r="F8" s="1913"/>
      <c r="G8" s="1913"/>
      <c r="H8" s="71"/>
      <c r="I8" s="1625" t="s">
        <v>81</v>
      </c>
      <c r="J8" s="1626"/>
      <c r="K8" s="1626"/>
      <c r="L8" s="4"/>
      <c r="M8" s="4"/>
      <c r="N8" s="84"/>
    </row>
    <row r="9" spans="1:16" ht="18.600000000000001" customHeight="1">
      <c r="A9" s="1902"/>
      <c r="B9" s="88"/>
      <c r="C9" s="78"/>
      <c r="D9" s="78"/>
      <c r="E9" s="78"/>
      <c r="F9" s="78"/>
      <c r="G9" s="78"/>
      <c r="H9" s="77"/>
      <c r="I9" s="578"/>
      <c r="J9" s="4"/>
      <c r="K9" s="4"/>
      <c r="L9" s="4"/>
      <c r="M9" s="4"/>
      <c r="N9" s="89"/>
    </row>
    <row r="10" spans="1:16" ht="18.600000000000001" customHeight="1">
      <c r="A10" s="1903" t="s">
        <v>109</v>
      </c>
      <c r="B10" s="90" t="s">
        <v>73</v>
      </c>
      <c r="C10" s="1891" t="s">
        <v>72</v>
      </c>
      <c r="D10" s="1891"/>
      <c r="E10" s="1891"/>
      <c r="F10" s="1891"/>
      <c r="G10" s="1891"/>
      <c r="H10" s="1891"/>
      <c r="I10" s="577"/>
      <c r="J10" s="98"/>
      <c r="K10" s="99"/>
      <c r="L10" s="99"/>
      <c r="M10" s="97">
        <v>0</v>
      </c>
      <c r="N10" s="87" t="s">
        <v>82</v>
      </c>
    </row>
    <row r="11" spans="1:16" ht="18.600000000000001" customHeight="1">
      <c r="A11" s="1904"/>
      <c r="B11" s="91"/>
      <c r="C11" s="92"/>
      <c r="D11" s="92"/>
      <c r="E11" s="92"/>
      <c r="F11" s="92"/>
      <c r="G11" s="92"/>
      <c r="H11" s="92"/>
      <c r="I11" s="577"/>
      <c r="J11" s="4"/>
      <c r="K11" s="4"/>
      <c r="L11" s="4"/>
      <c r="M11" s="4"/>
      <c r="N11" s="87"/>
    </row>
    <row r="12" spans="1:16" ht="18.600000000000001" customHeight="1">
      <c r="A12" s="1904"/>
      <c r="B12" s="91" t="s">
        <v>74</v>
      </c>
      <c r="C12" s="1891" t="s">
        <v>75</v>
      </c>
      <c r="D12" s="1891"/>
      <c r="E12" s="1891"/>
      <c r="F12" s="1891"/>
      <c r="G12" s="1891"/>
      <c r="H12" s="1891"/>
      <c r="I12" s="577"/>
      <c r="J12" s="4"/>
      <c r="K12" s="4"/>
      <c r="L12" s="4"/>
      <c r="M12" s="4"/>
      <c r="N12" s="87"/>
    </row>
    <row r="13" spans="1:16" ht="18.600000000000001" customHeight="1">
      <c r="A13" s="1904"/>
      <c r="B13" s="91"/>
      <c r="C13" s="92"/>
      <c r="D13" s="1895" t="s">
        <v>83</v>
      </c>
      <c r="E13" s="1895"/>
      <c r="F13" s="1895"/>
      <c r="G13" s="1895"/>
      <c r="H13" s="1895"/>
      <c r="I13" s="577" t="s">
        <v>437</v>
      </c>
      <c r="J13" s="1892">
        <f>'LIV-SORTIE'!E26</f>
        <v>2944.97</v>
      </c>
      <c r="K13" s="1893"/>
      <c r="L13" s="1893"/>
      <c r="M13" s="1894"/>
      <c r="N13" s="87" t="s">
        <v>66</v>
      </c>
      <c r="O13" s="23"/>
    </row>
    <row r="14" spans="1:16" ht="18.600000000000001" customHeight="1">
      <c r="A14" s="1904"/>
      <c r="B14" s="91"/>
      <c r="C14" s="92"/>
      <c r="D14" s="92"/>
      <c r="E14" s="92"/>
      <c r="F14" s="92"/>
      <c r="G14" s="92"/>
      <c r="H14" s="92"/>
      <c r="I14" s="577"/>
      <c r="J14" s="494"/>
      <c r="K14" s="494"/>
      <c r="L14" s="494"/>
      <c r="M14" s="494"/>
      <c r="N14" s="87"/>
    </row>
    <row r="15" spans="1:16" ht="18.600000000000001" customHeight="1">
      <c r="A15" s="1904"/>
      <c r="B15" s="91"/>
      <c r="C15" s="92"/>
      <c r="D15" s="1895" t="s">
        <v>85</v>
      </c>
      <c r="E15" s="1895"/>
      <c r="F15" s="92"/>
      <c r="G15" s="92"/>
      <c r="H15" s="92"/>
      <c r="I15" s="577" t="s">
        <v>437</v>
      </c>
      <c r="J15" s="1892">
        <f>'LIV-SORTIE'!F26</f>
        <v>0</v>
      </c>
      <c r="K15" s="1893"/>
      <c r="L15" s="1893"/>
      <c r="M15" s="1894"/>
      <c r="N15" s="87" t="s">
        <v>67</v>
      </c>
    </row>
    <row r="16" spans="1:16" ht="18.600000000000001" customHeight="1">
      <c r="A16" s="1904"/>
      <c r="B16" s="91"/>
      <c r="C16" s="92"/>
      <c r="D16" s="92"/>
      <c r="E16" s="92"/>
      <c r="F16" s="92"/>
      <c r="G16" s="92"/>
      <c r="H16" s="92"/>
      <c r="I16" s="577"/>
      <c r="J16" s="494"/>
      <c r="K16" s="494"/>
      <c r="L16" s="494"/>
      <c r="M16" s="494"/>
      <c r="N16" s="87"/>
    </row>
    <row r="17" spans="1:14" ht="18.600000000000001" customHeight="1">
      <c r="A17" s="1904"/>
      <c r="B17" s="91"/>
      <c r="C17" s="92"/>
      <c r="D17" s="1895" t="s">
        <v>84</v>
      </c>
      <c r="E17" s="1895"/>
      <c r="F17" s="92"/>
      <c r="G17" s="92"/>
      <c r="H17" s="92"/>
      <c r="I17" s="577" t="s">
        <v>437</v>
      </c>
      <c r="J17" s="1892">
        <f>'LIV-SORTIE'!G26</f>
        <v>11063.5</v>
      </c>
      <c r="K17" s="1893"/>
      <c r="L17" s="1893"/>
      <c r="M17" s="1894"/>
      <c r="N17" s="87" t="s">
        <v>68</v>
      </c>
    </row>
    <row r="18" spans="1:14" ht="18.600000000000001" customHeight="1">
      <c r="A18" s="1904"/>
      <c r="B18" s="91"/>
      <c r="C18" s="92"/>
      <c r="D18" s="92"/>
      <c r="E18" s="92"/>
      <c r="F18" s="92"/>
      <c r="G18" s="92"/>
      <c r="H18" s="92"/>
      <c r="I18" s="577"/>
      <c r="J18" s="494"/>
      <c r="K18" s="494"/>
      <c r="L18" s="494"/>
      <c r="M18" s="494"/>
      <c r="N18" s="87"/>
    </row>
    <row r="19" spans="1:14" ht="18.600000000000001" customHeight="1">
      <c r="A19" s="1904"/>
      <c r="B19" s="91" t="s">
        <v>86</v>
      </c>
      <c r="C19" s="1891" t="s">
        <v>87</v>
      </c>
      <c r="D19" s="1891"/>
      <c r="E19" s="1891"/>
      <c r="F19" s="1891"/>
      <c r="G19" s="1891"/>
      <c r="H19" s="1891"/>
      <c r="I19" s="577"/>
      <c r="J19" s="494"/>
      <c r="K19" s="494"/>
      <c r="L19" s="494"/>
      <c r="M19" s="494"/>
      <c r="N19" s="87"/>
    </row>
    <row r="20" spans="1:14" ht="18.600000000000001" customHeight="1">
      <c r="A20" s="1904"/>
      <c r="B20" s="91"/>
      <c r="C20" s="1891" t="s">
        <v>88</v>
      </c>
      <c r="D20" s="1891"/>
      <c r="E20" s="1891"/>
      <c r="F20" s="1891"/>
      <c r="G20" s="1891"/>
      <c r="H20" s="1891"/>
      <c r="I20" s="577"/>
      <c r="J20" s="1892"/>
      <c r="K20" s="1893"/>
      <c r="L20" s="1893"/>
      <c r="M20" s="1894"/>
      <c r="N20" s="87" t="s">
        <v>89</v>
      </c>
    </row>
    <row r="21" spans="1:14" ht="18.600000000000001" customHeight="1">
      <c r="A21" s="1904"/>
      <c r="B21" s="91"/>
      <c r="C21" s="92"/>
      <c r="D21" s="92"/>
      <c r="E21" s="92"/>
      <c r="F21" s="92"/>
      <c r="G21" s="92"/>
      <c r="H21" s="92"/>
      <c r="I21" s="577"/>
      <c r="J21" s="494"/>
      <c r="K21" s="494"/>
      <c r="L21" s="494"/>
      <c r="M21" s="494"/>
      <c r="N21" s="87"/>
    </row>
    <row r="22" spans="1:14" ht="18.600000000000001" customHeight="1">
      <c r="A22" s="1904"/>
      <c r="B22" s="91" t="s">
        <v>90</v>
      </c>
      <c r="C22" s="1891" t="s">
        <v>75</v>
      </c>
      <c r="D22" s="1891"/>
      <c r="E22" s="1891"/>
      <c r="F22" s="1891"/>
      <c r="G22" s="1891"/>
      <c r="H22" s="1891"/>
      <c r="I22" s="577"/>
      <c r="J22" s="494"/>
      <c r="K22" s="494"/>
      <c r="L22" s="494"/>
      <c r="M22" s="494"/>
      <c r="N22" s="87"/>
    </row>
    <row r="23" spans="1:14" ht="18.600000000000001" customHeight="1">
      <c r="A23" s="1904"/>
      <c r="B23" s="91"/>
      <c r="C23" s="1891" t="s">
        <v>91</v>
      </c>
      <c r="D23" s="1891"/>
      <c r="E23" s="1891"/>
      <c r="F23" s="1891"/>
      <c r="G23" s="1891"/>
      <c r="H23" s="1891"/>
      <c r="I23" s="577" t="s">
        <v>437</v>
      </c>
      <c r="J23" s="1892">
        <f>'LIV-SORTIE'!H26</f>
        <v>3049.09</v>
      </c>
      <c r="K23" s="1893"/>
      <c r="L23" s="1893"/>
      <c r="M23" s="1894"/>
      <c r="N23" s="87" t="s">
        <v>92</v>
      </c>
    </row>
    <row r="24" spans="1:14" ht="18.600000000000001" customHeight="1">
      <c r="A24" s="1904"/>
      <c r="B24" s="91"/>
      <c r="C24" s="92"/>
      <c r="D24" s="92"/>
      <c r="E24" s="92"/>
      <c r="F24" s="92"/>
      <c r="G24" s="92"/>
      <c r="H24" s="92"/>
      <c r="I24" s="577"/>
      <c r="J24" s="494"/>
      <c r="K24" s="494"/>
      <c r="L24" s="494"/>
      <c r="M24" s="494"/>
      <c r="N24" s="87"/>
    </row>
    <row r="25" spans="1:14" ht="18.600000000000001" customHeight="1">
      <c r="A25" s="1904"/>
      <c r="B25" s="91" t="s">
        <v>93</v>
      </c>
      <c r="C25" s="92" t="s">
        <v>94</v>
      </c>
      <c r="D25" s="92"/>
      <c r="E25" s="92"/>
      <c r="F25" s="92"/>
      <c r="G25" s="92"/>
      <c r="H25" s="92"/>
      <c r="I25" s="577"/>
      <c r="J25" s="494"/>
      <c r="K25" s="494"/>
      <c r="L25" s="494"/>
      <c r="M25" s="494"/>
      <c r="N25" s="87"/>
    </row>
    <row r="26" spans="1:14" ht="18.600000000000001" customHeight="1">
      <c r="A26" s="1904"/>
      <c r="B26" s="91"/>
      <c r="C26" s="92" t="s">
        <v>95</v>
      </c>
      <c r="D26" s="92"/>
      <c r="E26" s="92"/>
      <c r="F26" s="92"/>
      <c r="G26" s="92"/>
      <c r="H26" s="92"/>
      <c r="I26" s="577" t="s">
        <v>437</v>
      </c>
      <c r="J26" s="1892">
        <f>'LIV-SORTIE'!I26</f>
        <v>1487.36</v>
      </c>
      <c r="K26" s="1893"/>
      <c r="L26" s="1893"/>
      <c r="M26" s="1894"/>
      <c r="N26" s="87" t="s">
        <v>96</v>
      </c>
    </row>
    <row r="27" spans="1:14" ht="18.600000000000001" customHeight="1">
      <c r="A27" s="1904"/>
      <c r="B27" s="91"/>
      <c r="C27" s="92"/>
      <c r="D27" s="92"/>
      <c r="E27" s="92"/>
      <c r="F27" s="92"/>
      <c r="G27" s="92"/>
      <c r="H27" s="92"/>
      <c r="I27" s="577"/>
      <c r="J27" s="494"/>
      <c r="K27" s="494"/>
      <c r="L27" s="494"/>
      <c r="M27" s="494"/>
      <c r="N27" s="87"/>
    </row>
    <row r="28" spans="1:14" ht="18.600000000000001" customHeight="1">
      <c r="A28" s="1904"/>
      <c r="B28" s="91" t="s">
        <v>98</v>
      </c>
      <c r="C28" s="92" t="s">
        <v>99</v>
      </c>
      <c r="D28" s="92"/>
      <c r="E28" s="92"/>
      <c r="F28" s="92"/>
      <c r="G28" s="92"/>
      <c r="H28" s="92"/>
      <c r="I28" s="577"/>
      <c r="J28" s="494"/>
      <c r="K28" s="494"/>
      <c r="L28" s="494"/>
      <c r="M28" s="494"/>
      <c r="N28" s="87"/>
    </row>
    <row r="29" spans="1:14" ht="18.600000000000001" customHeight="1">
      <c r="A29" s="1904"/>
      <c r="B29" s="91"/>
      <c r="C29" s="92" t="s">
        <v>100</v>
      </c>
      <c r="D29" s="92"/>
      <c r="E29" s="92"/>
      <c r="F29" s="92"/>
      <c r="G29" s="92"/>
      <c r="H29" s="92"/>
      <c r="I29" s="577" t="s">
        <v>437</v>
      </c>
      <c r="J29" s="1892">
        <f>'LIV-SORTIE'!J26</f>
        <v>10783.37</v>
      </c>
      <c r="K29" s="1893"/>
      <c r="L29" s="1893"/>
      <c r="M29" s="1894"/>
      <c r="N29" s="87" t="s">
        <v>97</v>
      </c>
    </row>
    <row r="30" spans="1:14" ht="18.600000000000001" customHeight="1">
      <c r="A30" s="1904"/>
      <c r="B30" s="91"/>
      <c r="C30" s="92"/>
      <c r="D30" s="92"/>
      <c r="E30" s="92"/>
      <c r="F30" s="92"/>
      <c r="G30" s="92"/>
      <c r="H30" s="92"/>
      <c r="I30" s="577"/>
      <c r="J30" s="494"/>
      <c r="K30" s="494"/>
      <c r="L30" s="494"/>
      <c r="M30" s="494"/>
      <c r="N30" s="87"/>
    </row>
    <row r="31" spans="1:14" ht="18.600000000000001" customHeight="1">
      <c r="A31" s="1904"/>
      <c r="B31" s="91"/>
      <c r="C31" s="92"/>
      <c r="D31" s="92"/>
      <c r="E31" s="92"/>
      <c r="F31" s="92"/>
      <c r="G31" s="92"/>
      <c r="H31" s="92"/>
      <c r="I31" s="577"/>
      <c r="J31" s="494"/>
      <c r="K31" s="494"/>
      <c r="L31" s="494"/>
      <c r="M31" s="494"/>
      <c r="N31" s="87"/>
    </row>
    <row r="32" spans="1:14" ht="18.600000000000001" customHeight="1">
      <c r="A32" s="1904"/>
      <c r="B32" s="91" t="s">
        <v>101</v>
      </c>
      <c r="C32" s="92" t="s">
        <v>102</v>
      </c>
      <c r="D32" s="92"/>
      <c r="E32" s="92"/>
      <c r="F32" s="92"/>
      <c r="G32" s="92"/>
      <c r="H32" s="92"/>
      <c r="I32" s="577"/>
      <c r="J32" s="494"/>
      <c r="K32" s="494"/>
      <c r="L32" s="494"/>
      <c r="M32" s="494"/>
      <c r="N32" s="87"/>
    </row>
    <row r="33" spans="1:14" ht="18.600000000000001" customHeight="1">
      <c r="A33" s="1904"/>
      <c r="B33" s="91"/>
      <c r="C33" s="92" t="s">
        <v>103</v>
      </c>
      <c r="D33" s="92"/>
      <c r="E33" s="92"/>
      <c r="F33" s="92"/>
      <c r="G33" s="92"/>
      <c r="H33" s="92"/>
      <c r="I33" s="577"/>
      <c r="J33" s="494"/>
      <c r="K33" s="494"/>
      <c r="L33" s="494"/>
      <c r="M33" s="494"/>
      <c r="N33" s="87"/>
    </row>
    <row r="34" spans="1:14" ht="18.600000000000001" customHeight="1">
      <c r="A34" s="1904"/>
      <c r="B34" s="91"/>
      <c r="C34" s="92"/>
      <c r="D34" s="92"/>
      <c r="E34" s="92"/>
      <c r="F34" s="92"/>
      <c r="G34" s="92"/>
      <c r="H34" s="92"/>
      <c r="I34" s="577"/>
      <c r="J34" s="494"/>
      <c r="K34" s="494"/>
      <c r="L34" s="494"/>
      <c r="M34" s="494"/>
      <c r="N34" s="87"/>
    </row>
    <row r="35" spans="1:14" ht="18.600000000000001" customHeight="1">
      <c r="A35" s="1904"/>
      <c r="B35" s="91"/>
      <c r="C35" s="1895" t="s">
        <v>104</v>
      </c>
      <c r="D35" s="1895"/>
      <c r="E35" s="1895"/>
      <c r="F35" s="1895"/>
      <c r="G35" s="1895"/>
      <c r="H35" s="1895"/>
      <c r="I35" s="577" t="s">
        <v>438</v>
      </c>
      <c r="J35" s="1892">
        <f>'LIV-SORTIE'!K26</f>
        <v>0</v>
      </c>
      <c r="K35" s="1893"/>
      <c r="L35" s="1893"/>
      <c r="M35" s="1894"/>
      <c r="N35" s="87" t="s">
        <v>106</v>
      </c>
    </row>
    <row r="36" spans="1:14" ht="18.600000000000001" customHeight="1">
      <c r="A36" s="1904"/>
      <c r="B36" s="91"/>
      <c r="C36" s="92"/>
      <c r="D36" s="92"/>
      <c r="E36" s="92"/>
      <c r="F36" s="92"/>
      <c r="G36" s="92"/>
      <c r="H36" s="92"/>
      <c r="I36" s="577"/>
      <c r="J36" s="494"/>
      <c r="K36" s="494"/>
      <c r="L36" s="494"/>
      <c r="M36" s="494"/>
      <c r="N36" s="87"/>
    </row>
    <row r="37" spans="1:14" ht="18.600000000000001" customHeight="1">
      <c r="A37" s="1904"/>
      <c r="B37" s="91"/>
      <c r="C37" s="1895" t="s">
        <v>105</v>
      </c>
      <c r="D37" s="1895"/>
      <c r="E37" s="1895"/>
      <c r="F37" s="1895"/>
      <c r="G37" s="1895"/>
      <c r="H37" s="1895"/>
      <c r="I37" s="577" t="s">
        <v>438</v>
      </c>
      <c r="J37" s="1892">
        <f>'LIV-SORTIE'!L26</f>
        <v>490.83</v>
      </c>
      <c r="K37" s="1893"/>
      <c r="L37" s="1893"/>
      <c r="M37" s="1894"/>
      <c r="N37" s="87" t="s">
        <v>107</v>
      </c>
    </row>
    <row r="38" spans="1:14" ht="18.600000000000001" customHeight="1">
      <c r="A38" s="1905"/>
      <c r="B38" s="93"/>
      <c r="C38" s="83"/>
      <c r="D38" s="83"/>
      <c r="E38" s="83"/>
      <c r="F38" s="83"/>
      <c r="G38" s="83"/>
      <c r="H38" s="83"/>
      <c r="I38" s="578"/>
      <c r="J38" s="495"/>
      <c r="K38" s="495"/>
      <c r="L38" s="495"/>
      <c r="M38" s="495"/>
      <c r="N38" s="89"/>
    </row>
    <row r="39" spans="1:14" ht="18.600000000000001" customHeight="1">
      <c r="A39" s="1903" t="s">
        <v>133</v>
      </c>
      <c r="B39" s="91"/>
      <c r="C39" s="92"/>
      <c r="D39" s="92"/>
      <c r="E39" s="92"/>
      <c r="F39" s="92"/>
      <c r="G39" s="92"/>
      <c r="H39" s="92"/>
      <c r="I39" s="577"/>
      <c r="J39" s="168"/>
      <c r="K39" s="168"/>
      <c r="L39" s="168"/>
      <c r="M39" s="168"/>
      <c r="N39" s="87"/>
    </row>
    <row r="40" spans="1:14" ht="18.600000000000001" customHeight="1">
      <c r="A40" s="1904"/>
      <c r="B40" s="91" t="s">
        <v>73</v>
      </c>
      <c r="C40" s="1891" t="s">
        <v>110</v>
      </c>
      <c r="D40" s="1891"/>
      <c r="E40" s="1891"/>
      <c r="F40" s="1891"/>
      <c r="G40" s="1891"/>
      <c r="H40" s="1891"/>
      <c r="I40" s="577"/>
      <c r="J40" s="168"/>
      <c r="K40" s="168"/>
      <c r="L40" s="168"/>
      <c r="M40" s="168"/>
      <c r="N40" s="87"/>
    </row>
    <row r="41" spans="1:14" ht="18.600000000000001" customHeight="1">
      <c r="A41" s="1904"/>
      <c r="B41" s="91"/>
      <c r="C41" s="1891" t="s">
        <v>111</v>
      </c>
      <c r="D41" s="1891"/>
      <c r="E41" s="1891"/>
      <c r="F41" s="1891"/>
      <c r="G41" s="1891"/>
      <c r="H41" s="1891"/>
      <c r="I41" s="577"/>
      <c r="J41" s="168"/>
      <c r="K41" s="168"/>
      <c r="L41" s="168"/>
      <c r="M41" s="168"/>
      <c r="N41" s="87"/>
    </row>
    <row r="42" spans="1:14" ht="18.600000000000001" customHeight="1">
      <c r="A42" s="1904"/>
      <c r="B42" s="91"/>
      <c r="C42" s="92"/>
      <c r="D42" s="92"/>
      <c r="E42" s="92"/>
      <c r="F42" s="92"/>
      <c r="G42" s="92"/>
      <c r="H42" s="92"/>
      <c r="I42" s="577"/>
      <c r="J42" s="168"/>
      <c r="K42" s="168"/>
      <c r="L42" s="168"/>
      <c r="M42" s="168"/>
      <c r="N42" s="87"/>
    </row>
    <row r="43" spans="1:14" ht="18.600000000000001" customHeight="1">
      <c r="A43" s="1904"/>
      <c r="B43" s="91"/>
      <c r="C43" s="1895" t="s">
        <v>112</v>
      </c>
      <c r="D43" s="1895"/>
      <c r="E43" s="1895"/>
      <c r="F43" s="1895"/>
      <c r="G43" s="1895"/>
      <c r="H43" s="1895"/>
      <c r="I43" s="577"/>
      <c r="J43" s="168"/>
      <c r="K43" s="168"/>
      <c r="L43" s="168"/>
      <c r="M43" s="168"/>
      <c r="N43" s="87"/>
    </row>
    <row r="44" spans="1:14" ht="18.600000000000001" customHeight="1">
      <c r="A44" s="1904"/>
      <c r="B44" s="91"/>
      <c r="C44" s="1891" t="s">
        <v>113</v>
      </c>
      <c r="D44" s="1891"/>
      <c r="E44" s="1891"/>
      <c r="F44" s="1891"/>
      <c r="G44" s="1891"/>
      <c r="H44" s="1891"/>
      <c r="I44" s="575" t="s">
        <v>425</v>
      </c>
      <c r="J44" s="1892">
        <f>'LIV-ENTREE'!F27</f>
        <v>5101.8500000000004</v>
      </c>
      <c r="K44" s="1893"/>
      <c r="L44" s="1893"/>
      <c r="M44" s="1894"/>
      <c r="N44" s="87" t="s">
        <v>114</v>
      </c>
    </row>
    <row r="45" spans="1:14" ht="18.600000000000001" customHeight="1">
      <c r="A45" s="1904"/>
      <c r="B45" s="91"/>
      <c r="C45" s="92"/>
      <c r="D45" s="92"/>
      <c r="E45" s="92"/>
      <c r="F45" s="92"/>
      <c r="G45" s="92"/>
      <c r="H45" s="92"/>
      <c r="I45" s="575"/>
      <c r="J45" s="494"/>
      <c r="K45" s="494"/>
      <c r="L45" s="494"/>
      <c r="M45" s="494"/>
      <c r="N45" s="87"/>
    </row>
    <row r="46" spans="1:14" ht="18.600000000000001" customHeight="1">
      <c r="A46" s="1904"/>
      <c r="B46" s="91"/>
      <c r="C46" s="1895" t="s">
        <v>116</v>
      </c>
      <c r="D46" s="1895"/>
      <c r="E46" s="1895"/>
      <c r="F46" s="1895"/>
      <c r="G46" s="1895"/>
      <c r="H46" s="92"/>
      <c r="I46" s="575" t="s">
        <v>425</v>
      </c>
      <c r="J46" s="1892">
        <f>'LIV-ENTREE'!G27</f>
        <v>18796.38</v>
      </c>
      <c r="K46" s="1893"/>
      <c r="L46" s="1893"/>
      <c r="M46" s="1894"/>
      <c r="N46" s="87" t="s">
        <v>115</v>
      </c>
    </row>
    <row r="47" spans="1:14" ht="18.600000000000001" customHeight="1">
      <c r="A47" s="1904"/>
      <c r="B47" s="91"/>
      <c r="C47" s="92"/>
      <c r="D47" s="92"/>
      <c r="E47" s="92"/>
      <c r="F47" s="92"/>
      <c r="G47" s="92"/>
      <c r="H47" s="92"/>
      <c r="I47" s="575"/>
      <c r="J47" s="494"/>
      <c r="K47" s="494"/>
      <c r="L47" s="494"/>
      <c r="M47" s="494"/>
      <c r="N47" s="87"/>
    </row>
    <row r="48" spans="1:14" ht="18.600000000000001" customHeight="1">
      <c r="A48" s="1904"/>
      <c r="B48" s="91"/>
      <c r="C48" s="1895" t="s">
        <v>117</v>
      </c>
      <c r="D48" s="1895"/>
      <c r="E48" s="1895"/>
      <c r="F48" s="1895"/>
      <c r="G48" s="1895"/>
      <c r="H48" s="92"/>
      <c r="I48" s="575" t="s">
        <v>425</v>
      </c>
      <c r="J48" s="1892">
        <f>'LIV-ENTREE'!H27</f>
        <v>15493.35</v>
      </c>
      <c r="K48" s="1893"/>
      <c r="L48" s="1893"/>
      <c r="M48" s="1894"/>
      <c r="N48" s="87" t="s">
        <v>118</v>
      </c>
    </row>
    <row r="49" spans="1:14" ht="18.600000000000001" customHeight="1">
      <c r="A49" s="1904"/>
      <c r="B49" s="91"/>
      <c r="C49" s="92"/>
      <c r="D49" s="92"/>
      <c r="E49" s="92"/>
      <c r="F49" s="92"/>
      <c r="G49" s="92"/>
      <c r="H49" s="92"/>
      <c r="I49" s="575"/>
      <c r="J49" s="494"/>
      <c r="K49" s="494"/>
      <c r="L49" s="494"/>
      <c r="M49" s="494"/>
      <c r="N49" s="87"/>
    </row>
    <row r="50" spans="1:14" ht="18.600000000000001" customHeight="1">
      <c r="A50" s="1904"/>
      <c r="B50" s="91" t="s">
        <v>74</v>
      </c>
      <c r="C50" s="1891" t="s">
        <v>119</v>
      </c>
      <c r="D50" s="1891"/>
      <c r="E50" s="1891"/>
      <c r="F50" s="1891"/>
      <c r="G50" s="1891"/>
      <c r="H50" s="1891"/>
      <c r="I50" s="575"/>
      <c r="J50" s="494"/>
      <c r="K50" s="494"/>
      <c r="L50" s="494"/>
      <c r="M50" s="494"/>
      <c r="N50" s="87"/>
    </row>
    <row r="51" spans="1:14" ht="18.600000000000001" customHeight="1">
      <c r="A51" s="1904"/>
      <c r="B51" s="91"/>
      <c r="C51" s="1891" t="s">
        <v>120</v>
      </c>
      <c r="D51" s="1891"/>
      <c r="E51" s="1891"/>
      <c r="F51" s="1891"/>
      <c r="G51" s="1891"/>
      <c r="H51" s="1891"/>
      <c r="I51" s="575"/>
      <c r="J51" s="494"/>
      <c r="K51" s="494"/>
      <c r="L51" s="494"/>
      <c r="M51" s="494"/>
      <c r="N51" s="87"/>
    </row>
    <row r="52" spans="1:14" ht="18.600000000000001" customHeight="1">
      <c r="A52" s="1904"/>
      <c r="B52" s="91"/>
      <c r="C52" s="92"/>
      <c r="D52" s="92"/>
      <c r="E52" s="92"/>
      <c r="F52" s="92"/>
      <c r="G52" s="92"/>
      <c r="H52" s="92"/>
      <c r="I52" s="575"/>
      <c r="J52" s="494"/>
      <c r="K52" s="494"/>
      <c r="L52" s="494"/>
      <c r="M52" s="494"/>
      <c r="N52" s="87"/>
    </row>
    <row r="53" spans="1:14" ht="18.600000000000001" customHeight="1">
      <c r="A53" s="1904"/>
      <c r="B53" s="91"/>
      <c r="C53" s="1895" t="s">
        <v>121</v>
      </c>
      <c r="D53" s="1895"/>
      <c r="E53" s="1895"/>
      <c r="F53" s="1895"/>
      <c r="G53" s="1895"/>
      <c r="H53" s="1895"/>
      <c r="I53" s="575"/>
      <c r="J53" s="1892"/>
      <c r="K53" s="1893"/>
      <c r="L53" s="1893"/>
      <c r="M53" s="1894"/>
      <c r="N53" s="87" t="s">
        <v>127</v>
      </c>
    </row>
    <row r="54" spans="1:14" ht="18.600000000000001" customHeight="1">
      <c r="A54" s="1904"/>
      <c r="B54" s="91"/>
      <c r="C54" s="94"/>
      <c r="D54" s="94"/>
      <c r="E54" s="94"/>
      <c r="F54" s="94"/>
      <c r="G54" s="94"/>
      <c r="H54" s="94"/>
      <c r="I54" s="575"/>
      <c r="J54" s="494"/>
      <c r="K54" s="494"/>
      <c r="L54" s="494"/>
      <c r="M54" s="494"/>
      <c r="N54" s="87"/>
    </row>
    <row r="55" spans="1:14" ht="18.600000000000001" customHeight="1">
      <c r="A55" s="1904"/>
      <c r="B55" s="91"/>
      <c r="C55" s="94" t="s">
        <v>128</v>
      </c>
      <c r="D55" s="94"/>
      <c r="E55" s="94"/>
      <c r="F55" s="94"/>
      <c r="G55" s="94"/>
      <c r="H55" s="94"/>
      <c r="I55" s="575"/>
      <c r="J55" s="1892">
        <f>'LIV-ENTREE'!J27</f>
        <v>500.74</v>
      </c>
      <c r="K55" s="1893"/>
      <c r="L55" s="1893"/>
      <c r="M55" s="1894"/>
      <c r="N55" s="87" t="s">
        <v>129</v>
      </c>
    </row>
    <row r="56" spans="1:14" ht="18.600000000000001" customHeight="1">
      <c r="A56" s="1904"/>
      <c r="B56" s="91"/>
      <c r="C56" s="92"/>
      <c r="D56" s="92"/>
      <c r="E56" s="92"/>
      <c r="F56" s="92"/>
      <c r="G56" s="92"/>
      <c r="H56" s="92"/>
      <c r="I56" s="575"/>
      <c r="J56" s="494"/>
      <c r="K56" s="494"/>
      <c r="L56" s="494"/>
      <c r="M56" s="494"/>
      <c r="N56" s="87"/>
    </row>
    <row r="57" spans="1:14" ht="18.600000000000001" customHeight="1">
      <c r="A57" s="1904"/>
      <c r="B57" s="91" t="s">
        <v>86</v>
      </c>
      <c r="C57" s="95" t="s">
        <v>122</v>
      </c>
      <c r="D57" s="95"/>
      <c r="E57" s="95"/>
      <c r="F57" s="95"/>
      <c r="G57" s="95"/>
      <c r="H57" s="95"/>
      <c r="I57" s="575"/>
      <c r="J57" s="494"/>
      <c r="K57" s="494"/>
      <c r="L57" s="494"/>
      <c r="M57" s="494"/>
      <c r="N57" s="87"/>
    </row>
    <row r="58" spans="1:14" ht="18.600000000000001" customHeight="1">
      <c r="A58" s="1904"/>
      <c r="B58" s="91"/>
      <c r="C58" s="95" t="s">
        <v>123</v>
      </c>
      <c r="D58" s="95"/>
      <c r="E58" s="95"/>
      <c r="F58" s="95"/>
      <c r="G58" s="95"/>
      <c r="H58" s="95"/>
      <c r="I58" s="575"/>
      <c r="J58" s="1892">
        <f>'LIV-ENTREE'!L27</f>
        <v>136.54</v>
      </c>
      <c r="K58" s="1893"/>
      <c r="L58" s="1893"/>
      <c r="M58" s="1894"/>
      <c r="N58" s="87" t="s">
        <v>130</v>
      </c>
    </row>
    <row r="59" spans="1:14" ht="18.600000000000001" customHeight="1">
      <c r="A59" s="1904"/>
      <c r="B59" s="91"/>
      <c r="C59" s="95"/>
      <c r="D59" s="95"/>
      <c r="E59" s="95"/>
      <c r="F59" s="95"/>
      <c r="G59" s="95"/>
      <c r="H59" s="95"/>
      <c r="I59" s="575"/>
      <c r="J59" s="494"/>
      <c r="K59" s="494"/>
      <c r="L59" s="494"/>
      <c r="M59" s="494"/>
      <c r="N59" s="87"/>
    </row>
    <row r="60" spans="1:14" ht="18.600000000000001" customHeight="1">
      <c r="A60" s="1904"/>
      <c r="B60" s="91" t="s">
        <v>90</v>
      </c>
      <c r="C60" s="95" t="s">
        <v>124</v>
      </c>
      <c r="D60" s="95"/>
      <c r="E60" s="95"/>
      <c r="F60" s="95"/>
      <c r="G60" s="95"/>
      <c r="H60" s="95"/>
      <c r="I60" s="575"/>
      <c r="J60" s="1892">
        <f>'LIV-ENTREE'!N27</f>
        <v>61.97</v>
      </c>
      <c r="K60" s="1893"/>
      <c r="L60" s="1893"/>
      <c r="M60" s="1894"/>
      <c r="N60" s="87" t="s">
        <v>131</v>
      </c>
    </row>
    <row r="61" spans="1:14" ht="18.600000000000001" customHeight="1">
      <c r="A61" s="1904"/>
      <c r="B61" s="91"/>
      <c r="C61" s="95" t="s">
        <v>125</v>
      </c>
      <c r="D61" s="95"/>
      <c r="E61" s="95"/>
      <c r="F61" s="95"/>
      <c r="G61" s="95"/>
      <c r="H61" s="95"/>
      <c r="I61" s="575"/>
      <c r="J61" s="494"/>
      <c r="K61" s="494"/>
      <c r="L61" s="494"/>
      <c r="M61" s="494"/>
      <c r="N61" s="87"/>
    </row>
    <row r="62" spans="1:14" ht="18.600000000000001" customHeight="1">
      <c r="A62" s="1904"/>
      <c r="B62" s="91"/>
      <c r="C62" s="95"/>
      <c r="D62" s="95"/>
      <c r="E62" s="95"/>
      <c r="F62" s="95"/>
      <c r="G62" s="95"/>
      <c r="H62" s="95"/>
      <c r="I62" s="575"/>
      <c r="J62" s="494"/>
      <c r="K62" s="494"/>
      <c r="L62" s="494"/>
      <c r="M62" s="494"/>
      <c r="N62" s="87"/>
    </row>
    <row r="63" spans="1:14" ht="18.600000000000001" customHeight="1">
      <c r="A63" s="1904"/>
      <c r="B63" s="91" t="s">
        <v>93</v>
      </c>
      <c r="C63" s="1895" t="s">
        <v>198</v>
      </c>
      <c r="D63" s="1895"/>
      <c r="E63" s="1895"/>
      <c r="F63" s="1895"/>
      <c r="G63" s="1895"/>
      <c r="H63" s="1895"/>
      <c r="I63" s="575"/>
      <c r="J63" s="1914"/>
      <c r="K63" s="1915"/>
      <c r="L63" s="1915"/>
      <c r="M63" s="1916"/>
      <c r="N63" s="87" t="s">
        <v>132</v>
      </c>
    </row>
    <row r="64" spans="1:14" ht="18.600000000000001" customHeight="1">
      <c r="A64" s="1905"/>
      <c r="B64" s="93"/>
      <c r="C64" s="96" t="s">
        <v>126</v>
      </c>
      <c r="D64" s="96"/>
      <c r="E64" s="96"/>
      <c r="F64" s="96"/>
      <c r="G64" s="96"/>
      <c r="H64" s="96"/>
      <c r="I64" s="579"/>
      <c r="J64" s="496"/>
      <c r="K64" s="496"/>
      <c r="L64" s="496"/>
      <c r="M64" s="496"/>
      <c r="N64" s="89"/>
    </row>
    <row r="65" spans="1:14" ht="18" customHeight="1">
      <c r="A65" s="1930" t="s">
        <v>173</v>
      </c>
      <c r="B65" s="118"/>
      <c r="C65" s="110"/>
      <c r="D65" s="110"/>
      <c r="E65" s="110"/>
      <c r="F65" s="110"/>
      <c r="G65" s="110"/>
      <c r="H65" s="110"/>
      <c r="I65" s="580"/>
      <c r="J65" s="497"/>
      <c r="K65" s="497"/>
      <c r="L65" s="497"/>
      <c r="M65" s="497"/>
      <c r="N65" s="119"/>
    </row>
    <row r="66" spans="1:14" ht="18" customHeight="1">
      <c r="A66" s="1931"/>
      <c r="B66" s="104"/>
      <c r="C66" s="103"/>
      <c r="D66" s="103"/>
      <c r="E66" s="103"/>
      <c r="F66" s="103"/>
      <c r="G66" s="103"/>
      <c r="H66" s="103"/>
      <c r="I66" s="575"/>
      <c r="J66" s="494"/>
      <c r="K66" s="494"/>
      <c r="L66" s="494"/>
      <c r="M66" s="494"/>
      <c r="N66" s="87"/>
    </row>
    <row r="67" spans="1:14" ht="18" customHeight="1">
      <c r="A67" s="1931"/>
      <c r="B67" s="104" t="s">
        <v>73</v>
      </c>
      <c r="C67" s="121" t="s">
        <v>135</v>
      </c>
      <c r="D67" s="121"/>
      <c r="E67" s="121"/>
      <c r="F67" s="121"/>
      <c r="G67" s="121"/>
      <c r="H67" s="103"/>
      <c r="I67" s="575"/>
      <c r="J67" s="494"/>
      <c r="K67" s="494"/>
      <c r="L67" s="494"/>
      <c r="M67" s="494"/>
      <c r="N67" s="87"/>
    </row>
    <row r="68" spans="1:14" ht="18" customHeight="1">
      <c r="A68" s="1931"/>
      <c r="B68" s="104"/>
      <c r="C68" s="121"/>
      <c r="D68" s="121"/>
      <c r="E68" s="121"/>
      <c r="F68" s="121"/>
      <c r="G68" s="121"/>
      <c r="H68" s="103"/>
      <c r="I68" s="575"/>
      <c r="J68" s="494"/>
      <c r="K68" s="494"/>
      <c r="L68" s="494"/>
      <c r="M68" s="494"/>
      <c r="N68" s="87"/>
    </row>
    <row r="69" spans="1:14" ht="18" customHeight="1">
      <c r="A69" s="1931"/>
      <c r="B69" s="104"/>
      <c r="C69" s="121" t="s">
        <v>136</v>
      </c>
      <c r="D69" s="121"/>
      <c r="E69" s="121"/>
      <c r="F69" s="121"/>
      <c r="G69" s="121"/>
      <c r="H69" s="103"/>
      <c r="I69" s="575" t="s">
        <v>437</v>
      </c>
      <c r="J69" s="1892">
        <f>'LIV-SORTIE'!M26</f>
        <v>2500.0333000000001</v>
      </c>
      <c r="K69" s="1893"/>
      <c r="L69" s="1893"/>
      <c r="M69" s="1894"/>
      <c r="N69" s="87" t="s">
        <v>181</v>
      </c>
    </row>
    <row r="70" spans="1:14" ht="18" customHeight="1">
      <c r="A70" s="1931"/>
      <c r="B70" s="104"/>
      <c r="C70" s="121"/>
      <c r="D70" s="121"/>
      <c r="E70" s="121"/>
      <c r="F70" s="121"/>
      <c r="G70" s="121"/>
      <c r="H70" s="103"/>
      <c r="I70" s="575"/>
      <c r="J70" s="494"/>
      <c r="K70" s="494"/>
      <c r="L70" s="494"/>
      <c r="M70" s="494"/>
      <c r="N70" s="87"/>
    </row>
    <row r="71" spans="1:14" ht="18" customHeight="1">
      <c r="A71" s="1931"/>
      <c r="B71" s="104"/>
      <c r="C71" s="121" t="s">
        <v>137</v>
      </c>
      <c r="D71" s="121"/>
      <c r="E71" s="121"/>
      <c r="F71" s="121"/>
      <c r="G71" s="121"/>
      <c r="H71" s="103"/>
      <c r="I71" s="575" t="s">
        <v>426</v>
      </c>
      <c r="J71" s="1892">
        <f>'LIV-ENTREE'!O27</f>
        <v>8.1999999999999993</v>
      </c>
      <c r="K71" s="1893"/>
      <c r="L71" s="1893"/>
      <c r="M71" s="1894"/>
      <c r="N71" s="87" t="s">
        <v>182</v>
      </c>
    </row>
    <row r="72" spans="1:14" ht="18" customHeight="1">
      <c r="A72" s="1931"/>
      <c r="B72" s="104"/>
      <c r="C72" s="121"/>
      <c r="D72" s="121"/>
      <c r="E72" s="121"/>
      <c r="F72" s="121"/>
      <c r="G72" s="121"/>
      <c r="H72" s="103"/>
      <c r="I72" s="575"/>
      <c r="J72" s="494"/>
      <c r="K72" s="494"/>
      <c r="L72" s="494"/>
      <c r="M72" s="494"/>
      <c r="N72" s="87"/>
    </row>
    <row r="73" spans="1:14" ht="18" customHeight="1">
      <c r="A73" s="1931"/>
      <c r="B73" s="104"/>
      <c r="C73" s="121" t="s">
        <v>138</v>
      </c>
      <c r="D73" s="121"/>
      <c r="E73" s="121"/>
      <c r="F73" s="121"/>
      <c r="G73" s="121"/>
      <c r="H73" s="103"/>
      <c r="I73" s="575" t="s">
        <v>426</v>
      </c>
      <c r="J73" s="1892">
        <f>'LIV-ENTREE'!P27</f>
        <v>13.01</v>
      </c>
      <c r="K73" s="1893"/>
      <c r="L73" s="1893"/>
      <c r="M73" s="1894"/>
      <c r="N73" s="87" t="s">
        <v>183</v>
      </c>
    </row>
    <row r="74" spans="1:14" ht="18" customHeight="1">
      <c r="A74" s="1931"/>
      <c r="B74" s="104"/>
      <c r="C74" s="121" t="s">
        <v>139</v>
      </c>
      <c r="D74" s="121"/>
      <c r="E74" s="121"/>
      <c r="F74" s="121"/>
      <c r="G74" s="121"/>
      <c r="H74" s="103"/>
      <c r="I74" s="575"/>
      <c r="J74" s="494"/>
      <c r="K74" s="494"/>
      <c r="L74" s="494"/>
      <c r="M74" s="494"/>
      <c r="N74" s="87"/>
    </row>
    <row r="75" spans="1:14" ht="18" customHeight="1">
      <c r="A75" s="1931"/>
      <c r="B75" s="104"/>
      <c r="C75" s="121"/>
      <c r="D75" s="121"/>
      <c r="E75" s="121"/>
      <c r="F75" s="121"/>
      <c r="G75" s="121"/>
      <c r="H75" s="103"/>
      <c r="I75" s="575"/>
      <c r="J75" s="494"/>
      <c r="K75" s="494"/>
      <c r="L75" s="494"/>
      <c r="M75" s="494"/>
      <c r="N75" s="87"/>
    </row>
    <row r="76" spans="1:14" ht="18" customHeight="1">
      <c r="A76" s="1931"/>
      <c r="B76" s="104" t="s">
        <v>74</v>
      </c>
      <c r="C76" s="121" t="s">
        <v>140</v>
      </c>
      <c r="D76" s="121"/>
      <c r="E76" s="121"/>
      <c r="F76" s="121"/>
      <c r="G76" s="121"/>
      <c r="H76" s="103"/>
      <c r="I76" s="575"/>
      <c r="J76" s="1892"/>
      <c r="K76" s="1893"/>
      <c r="L76" s="1893"/>
      <c r="M76" s="1894"/>
      <c r="N76" s="87" t="s">
        <v>185</v>
      </c>
    </row>
    <row r="77" spans="1:14" ht="18" customHeight="1">
      <c r="A77" s="1931"/>
      <c r="B77" s="104"/>
      <c r="C77" s="121" t="s">
        <v>126</v>
      </c>
      <c r="D77" s="121"/>
      <c r="E77" s="121"/>
      <c r="F77" s="121"/>
      <c r="G77" s="121"/>
      <c r="H77" s="103"/>
      <c r="I77" s="575"/>
      <c r="J77" s="494"/>
      <c r="K77" s="494"/>
      <c r="L77" s="494"/>
      <c r="M77" s="494"/>
      <c r="N77" s="87"/>
    </row>
    <row r="78" spans="1:14" ht="18" customHeight="1">
      <c r="A78" s="1931"/>
      <c r="B78" s="104"/>
      <c r="C78" s="121"/>
      <c r="D78" s="121"/>
      <c r="E78" s="121"/>
      <c r="F78" s="121"/>
      <c r="G78" s="121"/>
      <c r="H78" s="103"/>
      <c r="I78" s="575"/>
      <c r="J78" s="494"/>
      <c r="K78" s="494"/>
      <c r="L78" s="494"/>
      <c r="M78" s="494"/>
      <c r="N78" s="87"/>
    </row>
    <row r="79" spans="1:14" ht="18" customHeight="1">
      <c r="A79" s="1931"/>
      <c r="B79" s="104" t="s">
        <v>86</v>
      </c>
      <c r="C79" s="121" t="s">
        <v>143</v>
      </c>
      <c r="D79" s="121"/>
      <c r="E79" s="121"/>
      <c r="F79" s="121"/>
      <c r="G79" s="121"/>
      <c r="H79" s="103"/>
      <c r="I79" s="575"/>
      <c r="J79" s="1892"/>
      <c r="K79" s="1893"/>
      <c r="L79" s="1893"/>
      <c r="M79" s="1894"/>
      <c r="N79" s="87" t="s">
        <v>186</v>
      </c>
    </row>
    <row r="80" spans="1:14" ht="18" customHeight="1">
      <c r="A80" s="1931"/>
      <c r="B80" s="104"/>
      <c r="C80" s="12"/>
      <c r="D80" s="121"/>
      <c r="E80" s="121"/>
      <c r="F80" s="121"/>
      <c r="G80" s="121"/>
      <c r="H80" s="103"/>
      <c r="I80" s="575"/>
      <c r="J80" s="494"/>
      <c r="K80" s="494"/>
      <c r="L80" s="494"/>
      <c r="M80" s="494"/>
      <c r="N80" s="87"/>
    </row>
    <row r="81" spans="1:14" ht="18" customHeight="1">
      <c r="A81" s="1931"/>
      <c r="B81" s="104" t="s">
        <v>90</v>
      </c>
      <c r="C81" s="121" t="s">
        <v>141</v>
      </c>
      <c r="D81" s="121"/>
      <c r="E81" s="121"/>
      <c r="F81" s="121"/>
      <c r="G81" s="121"/>
      <c r="H81" s="103"/>
      <c r="I81" s="575" t="s">
        <v>426</v>
      </c>
      <c r="J81" s="1892">
        <f>'LIV-ENTREE'!R27</f>
        <v>105.16</v>
      </c>
      <c r="K81" s="1893"/>
      <c r="L81" s="1893"/>
      <c r="M81" s="1894"/>
      <c r="N81" s="87" t="s">
        <v>187</v>
      </c>
    </row>
    <row r="82" spans="1:14" ht="18" customHeight="1">
      <c r="A82" s="1931"/>
      <c r="B82" s="104"/>
      <c r="C82" s="121" t="s">
        <v>142</v>
      </c>
      <c r="D82" s="121"/>
      <c r="E82" s="121"/>
      <c r="F82" s="121"/>
      <c r="G82" s="121"/>
      <c r="H82" s="103"/>
      <c r="I82" s="575"/>
      <c r="J82" s="494"/>
      <c r="K82" s="494"/>
      <c r="L82" s="494"/>
      <c r="M82" s="494"/>
      <c r="N82" s="87"/>
    </row>
    <row r="83" spans="1:14" ht="18" customHeight="1">
      <c r="A83" s="1931"/>
      <c r="B83" s="104"/>
      <c r="C83" s="123"/>
      <c r="D83" s="121"/>
      <c r="E83" s="121"/>
      <c r="F83" s="121"/>
      <c r="G83" s="121"/>
      <c r="H83" s="103"/>
      <c r="I83" s="575"/>
      <c r="J83" s="494"/>
      <c r="K83" s="494"/>
      <c r="L83" s="494"/>
      <c r="M83" s="494"/>
      <c r="N83" s="87"/>
    </row>
    <row r="84" spans="1:14" ht="18" customHeight="1">
      <c r="A84" s="1931"/>
      <c r="B84" s="104" t="s">
        <v>144</v>
      </c>
      <c r="C84" s="121"/>
      <c r="D84" s="121"/>
      <c r="E84" s="121"/>
      <c r="F84" s="121"/>
      <c r="G84" s="121"/>
      <c r="H84" s="103"/>
      <c r="I84" s="575"/>
      <c r="J84" s="1892"/>
      <c r="K84" s="1893"/>
      <c r="L84" s="1893"/>
      <c r="M84" s="1894"/>
      <c r="N84" s="87" t="s">
        <v>189</v>
      </c>
    </row>
    <row r="85" spans="1:14" ht="18" customHeight="1">
      <c r="A85" s="1931"/>
      <c r="B85" s="104"/>
      <c r="C85" s="121"/>
      <c r="D85" s="121"/>
      <c r="E85" s="121"/>
      <c r="F85" s="121"/>
      <c r="G85" s="121"/>
      <c r="H85" s="103"/>
      <c r="I85" s="575"/>
      <c r="J85" s="494"/>
      <c r="K85" s="494"/>
      <c r="L85" s="494"/>
      <c r="M85" s="494"/>
      <c r="N85" s="87"/>
    </row>
    <row r="86" spans="1:14" ht="18" customHeight="1">
      <c r="A86" s="1931"/>
      <c r="B86" s="120" t="s">
        <v>145</v>
      </c>
      <c r="C86" s="121"/>
      <c r="D86" s="121"/>
      <c r="E86" s="121"/>
      <c r="F86" s="121"/>
      <c r="G86" s="121"/>
      <c r="H86" s="103"/>
      <c r="I86" s="575"/>
      <c r="J86" s="1892">
        <f>SUM(J69,J71,J73,J76,J79,J81)</f>
        <v>2626.4032999999999</v>
      </c>
      <c r="K86" s="1893"/>
      <c r="L86" s="1893"/>
      <c r="M86" s="1894"/>
      <c r="N86" s="87" t="s">
        <v>188</v>
      </c>
    </row>
    <row r="87" spans="1:14" ht="18" customHeight="1">
      <c r="A87" s="1932"/>
      <c r="B87" s="102"/>
      <c r="C87" s="101"/>
      <c r="D87" s="101"/>
      <c r="E87" s="101"/>
      <c r="F87" s="101"/>
      <c r="G87" s="101"/>
      <c r="H87" s="101"/>
      <c r="I87" s="579"/>
      <c r="J87" s="496"/>
      <c r="K87" s="496"/>
      <c r="L87" s="496"/>
      <c r="M87" s="496"/>
      <c r="N87" s="89"/>
    </row>
    <row r="88" spans="1:14" ht="18" customHeight="1">
      <c r="A88" s="1930" t="s">
        <v>174</v>
      </c>
      <c r="B88" s="104"/>
      <c r="C88" s="103"/>
      <c r="D88" s="103"/>
      <c r="E88" s="103"/>
      <c r="F88" s="103"/>
      <c r="G88" s="103"/>
      <c r="H88" s="103"/>
      <c r="I88" s="575"/>
      <c r="J88" s="494"/>
      <c r="K88" s="494"/>
      <c r="L88" s="494"/>
      <c r="M88" s="494"/>
      <c r="N88" s="87"/>
    </row>
    <row r="89" spans="1:14" ht="18" customHeight="1">
      <c r="A89" s="1931"/>
      <c r="B89" s="104" t="s">
        <v>73</v>
      </c>
      <c r="C89" s="121" t="s">
        <v>146</v>
      </c>
      <c r="D89" s="121"/>
      <c r="E89" s="121"/>
      <c r="F89" s="121"/>
      <c r="G89" s="121"/>
      <c r="H89" s="103"/>
      <c r="I89" s="575" t="s">
        <v>425</v>
      </c>
      <c r="J89" s="1892">
        <f>'LIV-ENTREE'!S27</f>
        <v>6288.33</v>
      </c>
      <c r="K89" s="1893"/>
      <c r="L89" s="1893"/>
      <c r="M89" s="1894"/>
      <c r="N89" s="87" t="s">
        <v>190</v>
      </c>
    </row>
    <row r="90" spans="1:14" ht="18" customHeight="1">
      <c r="A90" s="1931"/>
      <c r="B90" s="104"/>
      <c r="C90" s="121"/>
      <c r="D90" s="121"/>
      <c r="E90" s="121"/>
      <c r="F90" s="121"/>
      <c r="G90" s="121"/>
      <c r="H90" s="103"/>
      <c r="I90" s="575"/>
      <c r="J90" s="494"/>
      <c r="K90" s="494"/>
      <c r="L90" s="494"/>
      <c r="M90" s="494"/>
      <c r="N90" s="87"/>
    </row>
    <row r="91" spans="1:14" ht="18" customHeight="1">
      <c r="A91" s="1931"/>
      <c r="B91" s="86" t="s">
        <v>74</v>
      </c>
      <c r="C91" s="121" t="s">
        <v>147</v>
      </c>
      <c r="D91" s="121"/>
      <c r="E91" s="121"/>
      <c r="F91" s="121"/>
      <c r="G91" s="121"/>
      <c r="H91" s="103"/>
      <c r="I91" s="575"/>
      <c r="J91" s="1917"/>
      <c r="K91" s="1918"/>
      <c r="L91" s="1918"/>
      <c r="M91" s="1919"/>
      <c r="N91" s="87" t="s">
        <v>191</v>
      </c>
    </row>
    <row r="92" spans="1:14" ht="18" customHeight="1">
      <c r="A92" s="1931"/>
      <c r="B92" s="104"/>
      <c r="C92" s="121"/>
      <c r="D92" s="121"/>
      <c r="E92" s="121"/>
      <c r="F92" s="121"/>
      <c r="G92" s="121"/>
      <c r="H92" s="103"/>
      <c r="I92" s="575"/>
      <c r="J92" s="494"/>
      <c r="K92" s="494"/>
      <c r="L92" s="494"/>
      <c r="M92" s="494"/>
      <c r="N92" s="87"/>
    </row>
    <row r="93" spans="1:14" ht="18" customHeight="1">
      <c r="A93" s="1931"/>
      <c r="B93" s="104" t="s">
        <v>86</v>
      </c>
      <c r="C93" s="121" t="s">
        <v>148</v>
      </c>
      <c r="D93" s="121"/>
      <c r="E93" s="121"/>
      <c r="F93" s="121"/>
      <c r="G93" s="121"/>
      <c r="H93" s="103"/>
      <c r="I93" s="575" t="s">
        <v>438</v>
      </c>
      <c r="J93" s="1892">
        <f>'LIV-SORTIE'!N26</f>
        <v>103.07</v>
      </c>
      <c r="K93" s="1893"/>
      <c r="L93" s="1893"/>
      <c r="M93" s="1894"/>
      <c r="N93" s="87" t="s">
        <v>192</v>
      </c>
    </row>
    <row r="94" spans="1:14" ht="18" customHeight="1">
      <c r="A94" s="1931"/>
      <c r="B94" s="104"/>
      <c r="C94" s="121"/>
      <c r="D94" s="121"/>
      <c r="E94" s="121"/>
      <c r="F94" s="121"/>
      <c r="G94" s="121"/>
      <c r="H94" s="103"/>
      <c r="I94" s="575"/>
      <c r="J94" s="494"/>
      <c r="K94" s="494"/>
      <c r="L94" s="494"/>
      <c r="M94" s="494"/>
      <c r="N94" s="87"/>
    </row>
    <row r="95" spans="1:14" ht="18" customHeight="1">
      <c r="A95" s="1931"/>
      <c r="B95" s="104" t="s">
        <v>149</v>
      </c>
      <c r="C95" s="121"/>
      <c r="D95" s="121"/>
      <c r="E95" s="121"/>
      <c r="F95" s="121"/>
      <c r="G95" s="121"/>
      <c r="H95" s="103"/>
      <c r="I95" s="575"/>
      <c r="J95" s="1892"/>
      <c r="K95" s="1893"/>
      <c r="L95" s="1893"/>
      <c r="M95" s="1894"/>
      <c r="N95" s="87" t="s">
        <v>193</v>
      </c>
    </row>
    <row r="96" spans="1:14" ht="18" customHeight="1">
      <c r="A96" s="1931"/>
      <c r="B96" s="104"/>
      <c r="C96" s="121"/>
      <c r="D96" s="121"/>
      <c r="E96" s="121"/>
      <c r="F96" s="121"/>
      <c r="G96" s="121"/>
      <c r="H96" s="103"/>
      <c r="I96" s="575"/>
      <c r="J96" s="494"/>
      <c r="K96" s="494"/>
      <c r="L96" s="494"/>
      <c r="M96" s="494"/>
      <c r="N96" s="87"/>
    </row>
    <row r="97" spans="1:14" ht="18" customHeight="1">
      <c r="A97" s="1932"/>
      <c r="B97" s="116"/>
      <c r="C97" s="124" t="s">
        <v>150</v>
      </c>
      <c r="D97" s="124"/>
      <c r="E97" s="124"/>
      <c r="F97" s="124"/>
      <c r="G97" s="124"/>
      <c r="H97" s="101"/>
      <c r="I97" s="579"/>
      <c r="J97" s="1892">
        <f>SUM(J89,M91,J93)</f>
        <v>6391.4</v>
      </c>
      <c r="K97" s="1893"/>
      <c r="L97" s="1893"/>
      <c r="M97" s="1894"/>
      <c r="N97" s="89" t="s">
        <v>194</v>
      </c>
    </row>
    <row r="98" spans="1:14" ht="18" customHeight="1">
      <c r="A98" s="1930" t="s">
        <v>175</v>
      </c>
      <c r="B98" s="104"/>
      <c r="C98" s="121"/>
      <c r="D98" s="121"/>
      <c r="E98" s="121"/>
      <c r="F98" s="121"/>
      <c r="G98" s="121"/>
      <c r="H98" s="103"/>
      <c r="I98" s="575"/>
      <c r="J98" s="494"/>
      <c r="K98" s="494"/>
      <c r="L98" s="494"/>
      <c r="M98" s="494"/>
      <c r="N98" s="87"/>
    </row>
    <row r="99" spans="1:14" ht="18" customHeight="1">
      <c r="A99" s="1931"/>
      <c r="B99" s="104"/>
      <c r="C99" s="121" t="s">
        <v>151</v>
      </c>
      <c r="D99" s="121"/>
      <c r="E99" s="121"/>
      <c r="F99" s="121"/>
      <c r="G99" s="121"/>
      <c r="H99" s="103"/>
      <c r="I99" s="575"/>
      <c r="J99" s="168"/>
      <c r="K99" s="168"/>
      <c r="L99" s="168"/>
      <c r="M99" s="168"/>
      <c r="N99" s="87"/>
    </row>
    <row r="100" spans="1:14" ht="18" customHeight="1">
      <c r="A100" s="1931"/>
      <c r="B100" s="104"/>
      <c r="C100" s="121"/>
      <c r="D100" s="121"/>
      <c r="E100" s="121"/>
      <c r="F100" s="121"/>
      <c r="G100" s="121"/>
      <c r="H100" s="103"/>
      <c r="I100" s="575"/>
      <c r="J100" s="496"/>
      <c r="K100" s="496"/>
      <c r="L100" s="496"/>
      <c r="M100" s="496"/>
      <c r="N100" s="87"/>
    </row>
    <row r="101" spans="1:14" ht="18" customHeight="1">
      <c r="A101" s="1931"/>
      <c r="B101" s="104"/>
      <c r="C101" s="121" t="s">
        <v>152</v>
      </c>
      <c r="D101" s="121"/>
      <c r="E101" s="121"/>
      <c r="F101" s="121"/>
      <c r="G101" s="121"/>
      <c r="H101" s="103"/>
      <c r="I101" s="575"/>
      <c r="J101" s="1923" t="str">
        <f>IF(J86&gt;J97,J86-J97,"")</f>
        <v/>
      </c>
      <c r="K101" s="1924"/>
      <c r="L101" s="1924"/>
      <c r="M101" s="1925"/>
      <c r="N101" s="87" t="s">
        <v>195</v>
      </c>
    </row>
    <row r="102" spans="1:14" ht="18" customHeight="1">
      <c r="A102" s="1931"/>
      <c r="B102" s="104"/>
      <c r="C102" s="121"/>
      <c r="D102" s="121"/>
      <c r="E102" s="121"/>
      <c r="F102" s="121"/>
      <c r="G102" s="121"/>
      <c r="H102" s="103"/>
      <c r="I102" s="575"/>
      <c r="J102" s="514"/>
      <c r="K102" s="514"/>
      <c r="L102" s="514"/>
      <c r="M102" s="514"/>
      <c r="N102" s="87"/>
    </row>
    <row r="103" spans="1:14" ht="18" customHeight="1">
      <c r="A103" s="1931"/>
      <c r="B103" s="104"/>
      <c r="C103" s="121" t="s">
        <v>184</v>
      </c>
      <c r="D103" s="121"/>
      <c r="E103" s="121"/>
      <c r="F103" s="121"/>
      <c r="G103" s="121"/>
      <c r="H103" s="103"/>
      <c r="I103" s="575"/>
      <c r="J103" s="1920">
        <f>IF(J97&gt;J86,J97-J86,"")</f>
        <v>3764.9966999999997</v>
      </c>
      <c r="K103" s="1921"/>
      <c r="L103" s="1921"/>
      <c r="M103" s="1922"/>
      <c r="N103" s="87" t="s">
        <v>196</v>
      </c>
    </row>
    <row r="104" spans="1:14" ht="18" customHeight="1">
      <c r="A104" s="1932"/>
      <c r="B104" s="102"/>
      <c r="C104" s="124"/>
      <c r="D104" s="124"/>
      <c r="E104" s="124"/>
      <c r="F104" s="124"/>
      <c r="G104" s="124"/>
      <c r="H104" s="101"/>
      <c r="I104" s="579"/>
      <c r="J104" s="496"/>
      <c r="K104" s="496"/>
      <c r="L104" s="496"/>
      <c r="M104" s="496"/>
      <c r="N104" s="89"/>
    </row>
    <row r="105" spans="1:14" ht="18" customHeight="1">
      <c r="A105" s="1935" t="s">
        <v>176</v>
      </c>
      <c r="B105" s="117"/>
      <c r="C105" s="125" t="s">
        <v>180</v>
      </c>
      <c r="D105" s="125"/>
      <c r="E105" s="125"/>
      <c r="F105" s="125"/>
      <c r="G105" s="125"/>
      <c r="H105" s="110"/>
      <c r="I105" s="581"/>
      <c r="J105" s="497"/>
      <c r="K105" s="497"/>
      <c r="L105" s="497"/>
      <c r="M105" s="497"/>
      <c r="N105" s="119"/>
    </row>
    <row r="106" spans="1:14" ht="18" customHeight="1">
      <c r="A106" s="1926"/>
      <c r="B106" s="104"/>
      <c r="C106" s="121"/>
      <c r="D106" s="121"/>
      <c r="E106" s="121"/>
      <c r="F106" s="121"/>
      <c r="G106" s="121"/>
      <c r="H106" s="103"/>
      <c r="I106" s="575"/>
      <c r="J106" s="494"/>
      <c r="K106" s="494"/>
      <c r="L106" s="494"/>
      <c r="M106" s="494"/>
      <c r="N106" s="87"/>
    </row>
    <row r="107" spans="1:14" ht="18" customHeight="1">
      <c r="A107" s="1926"/>
      <c r="B107" s="104"/>
      <c r="C107" s="121" t="s">
        <v>153</v>
      </c>
      <c r="D107" s="121"/>
      <c r="E107" s="121"/>
      <c r="F107" s="121"/>
      <c r="G107" s="121"/>
      <c r="H107" s="103"/>
      <c r="I107" s="575"/>
      <c r="J107" s="1892"/>
      <c r="K107" s="1893"/>
      <c r="L107" s="1893"/>
      <c r="M107" s="1894"/>
      <c r="N107" s="87" t="s">
        <v>197</v>
      </c>
    </row>
    <row r="108" spans="1:14" ht="18" customHeight="1">
      <c r="A108" s="1927"/>
      <c r="B108" s="102"/>
      <c r="C108" s="124"/>
      <c r="D108" s="124"/>
      <c r="E108" s="124"/>
      <c r="F108" s="124"/>
      <c r="G108" s="124"/>
      <c r="H108" s="101"/>
      <c r="I108" s="579"/>
      <c r="J108" s="495"/>
      <c r="K108" s="495"/>
      <c r="L108" s="495"/>
      <c r="M108" s="495"/>
      <c r="N108" s="89"/>
    </row>
    <row r="109" spans="1:14" ht="18" customHeight="1">
      <c r="A109" s="1926" t="s">
        <v>177</v>
      </c>
      <c r="B109" s="104"/>
      <c r="C109" s="121"/>
      <c r="D109" s="121"/>
      <c r="E109" s="121"/>
      <c r="F109" s="121"/>
      <c r="G109" s="121"/>
      <c r="H109" s="103"/>
      <c r="I109" s="575"/>
      <c r="J109" s="4"/>
      <c r="K109" s="4"/>
      <c r="L109" s="4"/>
      <c r="M109" s="4"/>
      <c r="N109" s="87"/>
    </row>
    <row r="110" spans="1:14" ht="18" customHeight="1">
      <c r="A110" s="1926"/>
      <c r="B110" s="104"/>
      <c r="C110" s="121" t="s">
        <v>154</v>
      </c>
      <c r="D110" s="121"/>
      <c r="E110" s="121"/>
      <c r="F110" s="121"/>
      <c r="G110" s="121"/>
      <c r="H110" s="103"/>
      <c r="I110" s="575"/>
      <c r="J110" s="4"/>
      <c r="K110" s="4"/>
      <c r="L110" s="4"/>
      <c r="M110" s="4"/>
      <c r="N110" s="87"/>
    </row>
    <row r="111" spans="1:14" ht="18" customHeight="1">
      <c r="A111" s="1926"/>
      <c r="B111" s="104"/>
      <c r="C111" s="121" t="s">
        <v>155</v>
      </c>
      <c r="D111" s="121"/>
      <c r="E111" s="121"/>
      <c r="F111" s="121"/>
      <c r="G111" s="121"/>
      <c r="H111" s="103"/>
      <c r="I111" s="575"/>
      <c r="J111" s="4"/>
      <c r="K111" s="4"/>
      <c r="L111" s="4"/>
      <c r="M111" s="4"/>
      <c r="N111" s="87"/>
    </row>
    <row r="112" spans="1:14" ht="18" customHeight="1">
      <c r="A112" s="1926"/>
      <c r="B112" s="104"/>
      <c r="C112" s="121"/>
      <c r="D112" s="121"/>
      <c r="E112" s="121"/>
      <c r="F112" s="121"/>
      <c r="G112" s="121"/>
      <c r="H112" s="103"/>
      <c r="I112" s="575"/>
      <c r="J112" s="4"/>
      <c r="K112" s="4"/>
      <c r="L112" s="4"/>
      <c r="M112" s="4"/>
      <c r="N112" s="87"/>
    </row>
    <row r="113" spans="1:14" ht="18" customHeight="1">
      <c r="A113" s="1926"/>
      <c r="B113" s="104"/>
      <c r="C113" s="121" t="s">
        <v>156</v>
      </c>
      <c r="D113" s="121"/>
      <c r="E113" s="121"/>
      <c r="F113" s="121"/>
      <c r="G113" s="121"/>
      <c r="H113" s="103"/>
      <c r="I113" s="575"/>
      <c r="J113" s="4"/>
      <c r="K113" s="4"/>
      <c r="L113" s="4"/>
      <c r="M113" s="64"/>
      <c r="N113" s="87"/>
    </row>
    <row r="114" spans="1:14" ht="18" customHeight="1">
      <c r="A114" s="1927"/>
      <c r="B114" s="102"/>
      <c r="C114" s="124"/>
      <c r="D114" s="124"/>
      <c r="E114" s="124"/>
      <c r="F114" s="124"/>
      <c r="G114" s="124"/>
      <c r="H114" s="101"/>
      <c r="I114" s="579"/>
      <c r="J114" s="77"/>
      <c r="K114" s="77"/>
      <c r="L114" s="77"/>
      <c r="M114" s="77"/>
      <c r="N114" s="89"/>
    </row>
    <row r="115" spans="1:14" ht="18" customHeight="1">
      <c r="A115" s="1930" t="s">
        <v>178</v>
      </c>
      <c r="B115" s="104"/>
      <c r="C115" s="121"/>
      <c r="D115" s="121"/>
      <c r="E115" s="121"/>
      <c r="F115" s="121"/>
      <c r="G115" s="121"/>
      <c r="H115" s="103"/>
      <c r="I115" s="575"/>
      <c r="J115" s="4"/>
      <c r="K115" s="4"/>
      <c r="L115" s="4"/>
      <c r="M115" s="4"/>
      <c r="N115" s="87"/>
    </row>
    <row r="116" spans="1:14" ht="18" customHeight="1">
      <c r="A116" s="1933"/>
      <c r="B116" s="104"/>
      <c r="C116" s="121" t="s">
        <v>157</v>
      </c>
      <c r="D116" s="121"/>
      <c r="E116" s="121"/>
      <c r="F116" s="121"/>
      <c r="G116" s="121"/>
      <c r="H116" s="103"/>
      <c r="I116" s="575"/>
      <c r="J116" s="12" t="s">
        <v>160</v>
      </c>
      <c r="K116" s="1621"/>
      <c r="L116" s="1723"/>
      <c r="M116" s="4"/>
      <c r="N116" s="87"/>
    </row>
    <row r="117" spans="1:14" ht="18" customHeight="1">
      <c r="A117" s="1933"/>
      <c r="B117" s="104"/>
      <c r="C117" s="121" t="s">
        <v>158</v>
      </c>
      <c r="D117" s="121"/>
      <c r="E117" s="121"/>
      <c r="F117" s="121"/>
      <c r="G117" s="121"/>
      <c r="H117" s="103"/>
      <c r="I117" s="575"/>
      <c r="J117" s="12"/>
      <c r="K117" s="4"/>
      <c r="L117" s="4"/>
      <c r="M117" s="4"/>
      <c r="N117" s="87"/>
    </row>
    <row r="118" spans="1:14" ht="18" customHeight="1">
      <c r="A118" s="1933"/>
      <c r="B118" s="104"/>
      <c r="C118" s="121" t="s">
        <v>159</v>
      </c>
      <c r="D118" s="121"/>
      <c r="E118" s="121"/>
      <c r="F118" s="121"/>
      <c r="G118" s="121"/>
      <c r="H118" s="103"/>
      <c r="I118" s="575"/>
      <c r="J118" s="12" t="s">
        <v>161</v>
      </c>
      <c r="K118" s="4"/>
      <c r="L118" s="4"/>
      <c r="M118" s="4"/>
      <c r="N118" s="87"/>
    </row>
    <row r="119" spans="1:14" ht="18" customHeight="1">
      <c r="A119" s="1933"/>
      <c r="B119" s="104"/>
      <c r="C119" s="109"/>
      <c r="D119" s="110"/>
      <c r="E119" s="110"/>
      <c r="F119" s="110"/>
      <c r="G119" s="110"/>
      <c r="H119" s="111"/>
      <c r="I119" s="575"/>
      <c r="J119" s="1"/>
      <c r="K119" s="2"/>
      <c r="L119" s="2"/>
      <c r="M119" s="105"/>
      <c r="N119" s="87"/>
    </row>
    <row r="120" spans="1:14" ht="18" customHeight="1">
      <c r="A120" s="1933"/>
      <c r="B120" s="104"/>
      <c r="C120" s="112"/>
      <c r="D120" s="103"/>
      <c r="E120" s="103"/>
      <c r="F120" s="103"/>
      <c r="G120" s="103"/>
      <c r="H120" s="113"/>
      <c r="I120" s="575"/>
      <c r="J120" s="3"/>
      <c r="K120" s="4"/>
      <c r="L120" s="4"/>
      <c r="M120" s="106"/>
      <c r="N120" s="87"/>
    </row>
    <row r="121" spans="1:14" ht="18" customHeight="1">
      <c r="A121" s="1933"/>
      <c r="B121" s="104"/>
      <c r="C121" s="112"/>
      <c r="D121" s="103"/>
      <c r="E121" s="103"/>
      <c r="F121" s="103"/>
      <c r="G121" s="103"/>
      <c r="H121" s="113"/>
      <c r="I121" s="575"/>
      <c r="J121" s="3"/>
      <c r="K121" s="4"/>
      <c r="L121" s="4"/>
      <c r="M121" s="106"/>
      <c r="N121" s="87"/>
    </row>
    <row r="122" spans="1:14" ht="18" customHeight="1">
      <c r="A122" s="1933"/>
      <c r="B122" s="104"/>
      <c r="C122" s="114"/>
      <c r="D122" s="101"/>
      <c r="E122" s="101"/>
      <c r="F122" s="101"/>
      <c r="G122" s="101"/>
      <c r="H122" s="115"/>
      <c r="I122" s="575"/>
      <c r="J122" s="107"/>
      <c r="K122" s="77"/>
      <c r="L122" s="77"/>
      <c r="M122" s="108"/>
      <c r="N122" s="87"/>
    </row>
    <row r="123" spans="1:14" ht="18" customHeight="1">
      <c r="A123" s="1934"/>
      <c r="B123" s="102"/>
      <c r="C123" s="101"/>
      <c r="D123" s="101"/>
      <c r="E123" s="101"/>
      <c r="F123" s="101"/>
      <c r="G123" s="101"/>
      <c r="H123" s="101"/>
      <c r="I123" s="579"/>
      <c r="J123" s="77"/>
      <c r="K123" s="77"/>
      <c r="L123" s="77"/>
      <c r="M123" s="77"/>
      <c r="N123" s="89"/>
    </row>
    <row r="124" spans="1:14" ht="18" customHeight="1">
      <c r="A124" s="1928" t="s">
        <v>179</v>
      </c>
      <c r="B124" s="104"/>
      <c r="C124" s="121" t="s">
        <v>162</v>
      </c>
      <c r="D124" s="121"/>
      <c r="E124" s="121"/>
      <c r="F124" s="121"/>
      <c r="G124" s="121"/>
      <c r="H124" s="121"/>
      <c r="I124" s="575"/>
      <c r="J124" s="4"/>
      <c r="K124" s="4"/>
      <c r="L124" s="4"/>
      <c r="M124" s="4"/>
      <c r="N124" s="87"/>
    </row>
    <row r="125" spans="1:14" ht="18" customHeight="1">
      <c r="A125" s="1928"/>
      <c r="B125" s="104"/>
      <c r="C125" s="515" t="s">
        <v>164</v>
      </c>
      <c r="D125" s="121"/>
      <c r="E125" s="121" t="s">
        <v>165</v>
      </c>
      <c r="F125" s="121" t="s">
        <v>166</v>
      </c>
      <c r="G125" s="1909" t="s">
        <v>167</v>
      </c>
      <c r="H125" s="1909"/>
      <c r="I125" s="575"/>
      <c r="J125" s="4"/>
      <c r="K125" s="4"/>
      <c r="L125" s="4"/>
      <c r="M125" s="4"/>
      <c r="N125" s="87"/>
    </row>
    <row r="126" spans="1:14" ht="18" customHeight="1">
      <c r="A126" s="1928"/>
      <c r="B126" s="122" t="s">
        <v>163</v>
      </c>
      <c r="C126" s="126" t="s">
        <v>66</v>
      </c>
      <c r="D126" s="121"/>
      <c r="E126" s="123"/>
      <c r="F126" s="123"/>
      <c r="G126" s="1936"/>
      <c r="H126" s="1937"/>
      <c r="I126" s="575"/>
      <c r="J126" s="1621"/>
      <c r="K126" s="1622"/>
      <c r="L126" s="1622"/>
      <c r="M126" s="1723"/>
      <c r="N126" s="87"/>
    </row>
    <row r="127" spans="1:14" ht="18" customHeight="1">
      <c r="A127" s="1928"/>
      <c r="B127" s="122" t="s">
        <v>168</v>
      </c>
      <c r="C127" s="123"/>
      <c r="D127" s="121"/>
      <c r="E127" s="123" t="s">
        <v>169</v>
      </c>
      <c r="F127" s="123"/>
      <c r="G127" s="1936"/>
      <c r="H127" s="1937"/>
      <c r="I127" s="575"/>
      <c r="J127" s="4"/>
      <c r="K127" s="4"/>
      <c r="L127" s="4"/>
      <c r="M127" s="4"/>
      <c r="N127" s="87"/>
    </row>
    <row r="128" spans="1:14" ht="18" customHeight="1">
      <c r="A128" s="1929"/>
      <c r="B128" s="102"/>
      <c r="C128" s="127" t="s">
        <v>170</v>
      </c>
      <c r="D128" s="82"/>
      <c r="E128" s="127" t="s">
        <v>171</v>
      </c>
      <c r="F128" s="1938" t="s">
        <v>172</v>
      </c>
      <c r="G128" s="1938"/>
      <c r="H128" s="1938"/>
      <c r="I128" s="579"/>
      <c r="J128" s="77"/>
      <c r="K128" s="77"/>
      <c r="L128" s="77"/>
      <c r="M128" s="77"/>
      <c r="N128" s="89"/>
    </row>
    <row r="129" spans="1:9">
      <c r="A129" s="74"/>
      <c r="B129" s="100"/>
      <c r="C129" s="74"/>
      <c r="D129" s="74"/>
      <c r="E129" s="74"/>
      <c r="F129" s="74"/>
      <c r="G129" s="74"/>
      <c r="H129" s="74"/>
      <c r="I129" s="582"/>
    </row>
  </sheetData>
  <mergeCells count="80">
    <mergeCell ref="J79:M79"/>
    <mergeCell ref="J81:M81"/>
    <mergeCell ref="J86:M86"/>
    <mergeCell ref="J69:M69"/>
    <mergeCell ref="J73:M73"/>
    <mergeCell ref="J71:M71"/>
    <mergeCell ref="J76:M76"/>
    <mergeCell ref="C48:G48"/>
    <mergeCell ref="A109:A114"/>
    <mergeCell ref="A124:A128"/>
    <mergeCell ref="A88:A97"/>
    <mergeCell ref="A98:A104"/>
    <mergeCell ref="A115:A123"/>
    <mergeCell ref="A105:A108"/>
    <mergeCell ref="G127:H127"/>
    <mergeCell ref="G126:H126"/>
    <mergeCell ref="F128:H128"/>
    <mergeCell ref="A65:A87"/>
    <mergeCell ref="C63:H63"/>
    <mergeCell ref="A39:A64"/>
    <mergeCell ref="C41:H41"/>
    <mergeCell ref="C43:H43"/>
    <mergeCell ref="C44:H44"/>
    <mergeCell ref="J107:M107"/>
    <mergeCell ref="J84:M84"/>
    <mergeCell ref="J93:M93"/>
    <mergeCell ref="J97:M97"/>
    <mergeCell ref="J91:M91"/>
    <mergeCell ref="J89:M89"/>
    <mergeCell ref="J95:M95"/>
    <mergeCell ref="J103:M103"/>
    <mergeCell ref="J101:M101"/>
    <mergeCell ref="K116:L116"/>
    <mergeCell ref="J126:M126"/>
    <mergeCell ref="G125:H125"/>
    <mergeCell ref="I1:N1"/>
    <mergeCell ref="B8:G8"/>
    <mergeCell ref="I7:J7"/>
    <mergeCell ref="I8:K8"/>
    <mergeCell ref="J63:M63"/>
    <mergeCell ref="J60:M60"/>
    <mergeCell ref="J58:M58"/>
    <mergeCell ref="J55:M55"/>
    <mergeCell ref="J53:M53"/>
    <mergeCell ref="J48:M48"/>
    <mergeCell ref="C50:H50"/>
    <mergeCell ref="C51:H51"/>
    <mergeCell ref="C53:H53"/>
    <mergeCell ref="J13:M13"/>
    <mergeCell ref="J29:M29"/>
    <mergeCell ref="C37:H37"/>
    <mergeCell ref="A1:A9"/>
    <mergeCell ref="A10:A38"/>
    <mergeCell ref="D15:E15"/>
    <mergeCell ref="D17:E17"/>
    <mergeCell ref="C19:H19"/>
    <mergeCell ref="C20:H20"/>
    <mergeCell ref="C10:H10"/>
    <mergeCell ref="C12:H12"/>
    <mergeCell ref="D13:H13"/>
    <mergeCell ref="B2:H2"/>
    <mergeCell ref="B3:H3"/>
    <mergeCell ref="B4:H4"/>
    <mergeCell ref="B5:H5"/>
    <mergeCell ref="B6:H6"/>
    <mergeCell ref="C23:H23"/>
    <mergeCell ref="C35:H35"/>
    <mergeCell ref="B7:E7"/>
    <mergeCell ref="C22:H22"/>
    <mergeCell ref="J17:M17"/>
    <mergeCell ref="J15:M15"/>
    <mergeCell ref="J20:M20"/>
    <mergeCell ref="J26:M26"/>
    <mergeCell ref="J44:M44"/>
    <mergeCell ref="C40:H40"/>
    <mergeCell ref="J46:M46"/>
    <mergeCell ref="J23:M23"/>
    <mergeCell ref="J37:M37"/>
    <mergeCell ref="J35:M35"/>
    <mergeCell ref="C46:G46"/>
  </mergeCells>
  <pageMargins left="0.7" right="0.7" top="0.75" bottom="0.75" header="0.3" footer="0.3"/>
  <pageSetup paperSize="9" scale="65" fitToWidth="0" fitToHeight="0" orientation="portrait" horizontalDpi="30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view="pageLayout" topLeftCell="A10" workbookViewId="0"/>
  </sheetViews>
  <sheetFormatPr baseColWidth="10" defaultRowHeight="15"/>
  <sheetData/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Val-Départ</vt:lpstr>
      <vt:lpstr>Liv-Four-client</vt:lpstr>
      <vt:lpstr>Bal.client-four</vt:lpstr>
      <vt:lpstr>Gr liv ACT-PAS</vt:lpstr>
      <vt:lpstr>Jour. Achats-ventes</vt:lpstr>
      <vt:lpstr>PCMN</vt:lpstr>
      <vt:lpstr>PCMN1</vt:lpstr>
      <vt:lpstr>Bal des comptes</vt:lpstr>
      <vt:lpstr>Journ- Finan-central</vt:lpstr>
      <vt:lpstr>Comp Résultat</vt:lpstr>
      <vt:lpstr>BILAN AC-PA</vt:lpstr>
      <vt:lpstr>Feuil2</vt:lpstr>
      <vt:lpstr>Feuil5</vt:lpstr>
      <vt:lpstr>LIV-ENTREE</vt:lpstr>
      <vt:lpstr>LIV-SORTIE</vt:lpstr>
      <vt:lpstr>TVA-625</vt:lpstr>
      <vt:lpstr>Feuil9</vt:lpstr>
      <vt:lpstr>appelation</vt:lpstr>
      <vt:lpstr>AVANCETVA</vt:lpstr>
      <vt:lpstr>dénomination</vt:lpstr>
      <vt:lpstr>fournisseurs</vt:lpstr>
      <vt:lpstr>'Bal.client-four'!Plan1</vt:lpstr>
      <vt:lpstr>'Comp Résultat'!Plan1</vt:lpstr>
      <vt:lpstr>'Jour. Achats-ventes'!Plan1</vt:lpstr>
      <vt:lpstr>PCMN1!Plan1</vt:lpstr>
      <vt:lpstr>Plan10</vt:lpstr>
      <vt:lpstr>'Bal.client-four'!Plan2</vt:lpstr>
      <vt:lpstr>'Comp Résultat'!Plan2</vt:lpstr>
      <vt:lpstr>'Jour. Achats-ventes'!Plan2</vt:lpstr>
      <vt:lpstr>PCMN1!Plan2</vt:lpstr>
      <vt:lpstr>Plan20</vt:lpstr>
      <vt:lpstr>TVA</vt:lpstr>
      <vt:lpstr>TVAréduit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2015-06-28T12:00:08Z</cp:lastPrinted>
  <dcterms:created xsi:type="dcterms:W3CDTF">2015-05-07T04:31:27Z</dcterms:created>
  <dcterms:modified xsi:type="dcterms:W3CDTF">2015-06-28T13:24:43Z</dcterms:modified>
</cp:coreProperties>
</file>