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9735"/>
  </bookViews>
  <sheets>
    <sheet name="2014-2015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E96" i="2" l="1"/>
  <c r="H93" i="2"/>
  <c r="G93" i="2"/>
  <c r="E93" i="2"/>
  <c r="F93" i="2"/>
  <c r="B159" i="2" l="1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E100" i="2" l="1"/>
  <c r="D109" i="2"/>
  <c r="G95" i="2"/>
  <c r="L91" i="2"/>
  <c r="E95" i="2"/>
  <c r="E104" i="2" s="1"/>
  <c r="D97" i="2"/>
  <c r="D99" i="2"/>
  <c r="D102" i="2"/>
  <c r="D106" i="2"/>
  <c r="D110" i="2"/>
  <c r="D112" i="2"/>
  <c r="D114" i="2"/>
  <c r="D116" i="2"/>
  <c r="D118" i="2"/>
  <c r="D120" i="2"/>
  <c r="D122" i="2"/>
  <c r="D124" i="2"/>
  <c r="D126" i="2"/>
  <c r="D128" i="2"/>
  <c r="D130" i="2"/>
  <c r="D132" i="2"/>
  <c r="D134" i="2"/>
  <c r="D136" i="2"/>
  <c r="D138" i="2"/>
  <c r="D140" i="2"/>
  <c r="D142" i="2"/>
  <c r="D144" i="2"/>
  <c r="D146" i="2"/>
  <c r="D148" i="2"/>
  <c r="D150" i="2"/>
  <c r="D152" i="2"/>
  <c r="D154" i="2"/>
  <c r="D156" i="2"/>
  <c r="D158" i="2"/>
  <c r="E97" i="2"/>
  <c r="D100" i="2"/>
  <c r="D103" i="2"/>
  <c r="D107" i="2"/>
  <c r="D96" i="2"/>
  <c r="D98" i="2"/>
  <c r="D104" i="2"/>
  <c r="D108" i="2"/>
  <c r="D111" i="2"/>
  <c r="D113" i="2"/>
  <c r="D115" i="2"/>
  <c r="D117" i="2"/>
  <c r="D119" i="2"/>
  <c r="D121" i="2"/>
  <c r="D123" i="2"/>
  <c r="D125" i="2"/>
  <c r="D127" i="2"/>
  <c r="D129" i="2"/>
  <c r="D131" i="2"/>
  <c r="D133" i="2"/>
  <c r="D135" i="2"/>
  <c r="D137" i="2"/>
  <c r="D139" i="2"/>
  <c r="D141" i="2"/>
  <c r="D143" i="2"/>
  <c r="D145" i="2"/>
  <c r="D147" i="2"/>
  <c r="D149" i="2"/>
  <c r="D151" i="2"/>
  <c r="D153" i="2"/>
  <c r="D155" i="2"/>
  <c r="D157" i="2"/>
  <c r="D159" i="2"/>
  <c r="D101" i="2"/>
  <c r="D105" i="2"/>
  <c r="E98" i="2" l="1"/>
</calcChain>
</file>

<file path=xl/sharedStrings.xml><?xml version="1.0" encoding="utf-8"?>
<sst xmlns="http://schemas.openxmlformats.org/spreadsheetml/2006/main" count="124" uniqueCount="86">
  <si>
    <t>CDE</t>
  </si>
  <si>
    <t>PRIX PORT CLIENT</t>
  </si>
  <si>
    <t>N° FACTURE</t>
  </si>
  <si>
    <t>1,538</t>
  </si>
  <si>
    <t>1,563</t>
  </si>
  <si>
    <t>1,587</t>
  </si>
  <si>
    <t>1,613</t>
  </si>
  <si>
    <t>1,667</t>
  </si>
  <si>
    <t>1,695</t>
  </si>
  <si>
    <t>1,724</t>
  </si>
  <si>
    <t>1,754</t>
  </si>
  <si>
    <t>1,786</t>
  </si>
  <si>
    <t>1,818</t>
  </si>
  <si>
    <t>1,852</t>
  </si>
  <si>
    <t>1,887</t>
  </si>
  <si>
    <t>1,923</t>
  </si>
  <si>
    <t>1,961</t>
  </si>
  <si>
    <t>2</t>
  </si>
  <si>
    <t>COMMISSION</t>
  </si>
  <si>
    <t>PANIER MOYEN</t>
  </si>
  <si>
    <t>P. ACHAT HT</t>
  </si>
  <si>
    <t>P. VENTE HT</t>
  </si>
  <si>
    <t>0,15% par point au-delà de 35%</t>
  </si>
  <si>
    <t>1% 0-500000 sur CA</t>
  </si>
  <si>
    <t>MARGE</t>
  </si>
  <si>
    <t>cde internet</t>
  </si>
  <si>
    <t>C.A</t>
  </si>
  <si>
    <t>258112</t>
  </si>
  <si>
    <t>258085</t>
  </si>
  <si>
    <t>258191</t>
  </si>
  <si>
    <t>258163</t>
  </si>
  <si>
    <t>258093</t>
  </si>
  <si>
    <t>258160</t>
  </si>
  <si>
    <t>258190</t>
  </si>
  <si>
    <t>257845</t>
  </si>
  <si>
    <t>258254</t>
  </si>
  <si>
    <t>258255</t>
  </si>
  <si>
    <t>258257</t>
  </si>
  <si>
    <t>258250</t>
  </si>
  <si>
    <t>258341</t>
  </si>
  <si>
    <t>258478</t>
  </si>
  <si>
    <t>258757</t>
  </si>
  <si>
    <t>258835</t>
  </si>
  <si>
    <t>258839</t>
  </si>
  <si>
    <t>258873</t>
  </si>
  <si>
    <t>258983</t>
  </si>
  <si>
    <t>259356</t>
  </si>
  <si>
    <t>259353</t>
  </si>
  <si>
    <t>259354</t>
  </si>
  <si>
    <t>259699</t>
  </si>
  <si>
    <t>259698</t>
  </si>
  <si>
    <t>259822</t>
  </si>
  <si>
    <t>259715</t>
  </si>
  <si>
    <t>259912</t>
  </si>
  <si>
    <t>259941</t>
  </si>
  <si>
    <t>260175</t>
  </si>
  <si>
    <t>260295</t>
  </si>
  <si>
    <t>260325</t>
  </si>
  <si>
    <t>260544</t>
  </si>
  <si>
    <t>260380</t>
  </si>
  <si>
    <t>260293</t>
  </si>
  <si>
    <t>260355</t>
  </si>
  <si>
    <t>260558</t>
  </si>
  <si>
    <t>260545</t>
  </si>
  <si>
    <t>260311</t>
  </si>
  <si>
    <t>260147</t>
  </si>
  <si>
    <t>260138</t>
  </si>
  <si>
    <t>259669</t>
  </si>
  <si>
    <t>259192</t>
  </si>
  <si>
    <t>259071</t>
  </si>
  <si>
    <t>259029</t>
  </si>
  <si>
    <t>259008</t>
  </si>
  <si>
    <t>260574</t>
  </si>
  <si>
    <t>260619</t>
  </si>
  <si>
    <t>260556</t>
  </si>
  <si>
    <t>260620</t>
  </si>
  <si>
    <t>260588</t>
  </si>
  <si>
    <t>260661</t>
  </si>
  <si>
    <t>257858</t>
  </si>
  <si>
    <t>N° COMPTE CLIENT</t>
  </si>
  <si>
    <t>TTC</t>
  </si>
  <si>
    <t>P. ACHAT</t>
  </si>
  <si>
    <t>P. VENTE</t>
  </si>
  <si>
    <t>PRIX PORT</t>
  </si>
  <si>
    <t>&lt;== voici ce que donne le résultat de : recherchev</t>
  </si>
  <si>
    <t>je voudrais voir apparaître automatiquement la commission dans la case violette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</si>
</sst>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left"/>
    </xf>
    <xf numFmtId="0" fontId="0" fillId="0" borderId="6" xfId="0" applyBorder="1" applyAlignment="1">
      <alignment horizontal="left"/>
    </xf>
    <xf numFmtId="0" fontId="1" fillId="0" borderId="6" xfId="0" applyFont="1" applyBorder="1" applyAlignment="1">
      <alignment horizontal="center" vertical="center" wrapText="1"/>
    </xf>
    <xf numFmtId="0" fontId="0" fillId="6" borderId="6" xfId="0" applyFill="1" applyBorder="1" applyAlignment="1">
      <alignment horizontal="left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9" fontId="0" fillId="0" borderId="0" xfId="0" applyNumberFormat="1" applyAlignment="1">
      <alignment horizontal="left"/>
    </xf>
    <xf numFmtId="0" fontId="0" fillId="4" borderId="1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2" fontId="0" fillId="0" borderId="0" xfId="0" applyNumberFormat="1" applyAlignment="1">
      <alignment horizontal="left"/>
    </xf>
    <xf numFmtId="0" fontId="1" fillId="0" borderId="0" xfId="0" applyFont="1" applyAlignment="1">
      <alignment horizontal="left"/>
    </xf>
    <xf numFmtId="164" fontId="1" fillId="4" borderId="5" xfId="0" applyNumberFormat="1" applyFont="1" applyFill="1" applyBorder="1" applyAlignment="1">
      <alignment horizontal="center" vertical="center"/>
    </xf>
    <xf numFmtId="2" fontId="1" fillId="5" borderId="2" xfId="0" applyNumberFormat="1" applyFon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2" borderId="6" xfId="0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8" borderId="6" xfId="0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2" fontId="1" fillId="0" borderId="3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2" fontId="1" fillId="9" borderId="2" xfId="0" applyNumberFormat="1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9"/>
  <sheetViews>
    <sheetView tabSelected="1" topLeftCell="A81" workbookViewId="0">
      <selection activeCell="F106" sqref="F106:I107"/>
    </sheetView>
  </sheetViews>
  <sheetFormatPr baseColWidth="10" defaultRowHeight="15" x14ac:dyDescent="0.25"/>
  <cols>
    <col min="1" max="1" width="13.42578125" style="1" customWidth="1"/>
    <col min="2" max="6" width="11.42578125" style="1"/>
    <col min="7" max="7" width="14.28515625" style="1" customWidth="1"/>
    <col min="8" max="9" width="11.42578125" style="1"/>
  </cols>
  <sheetData>
    <row r="1" spans="1:10" ht="30" customHeight="1" x14ac:dyDescent="0.25">
      <c r="A1" s="3" t="s">
        <v>0</v>
      </c>
      <c r="B1" s="3" t="s">
        <v>2</v>
      </c>
      <c r="C1" s="3" t="s">
        <v>79</v>
      </c>
      <c r="D1" s="3" t="s">
        <v>20</v>
      </c>
      <c r="E1" s="3" t="s">
        <v>21</v>
      </c>
      <c r="F1" s="3" t="s">
        <v>83</v>
      </c>
      <c r="G1" s="3" t="s">
        <v>1</v>
      </c>
      <c r="H1" s="3" t="s">
        <v>80</v>
      </c>
      <c r="I1"/>
    </row>
    <row r="2" spans="1:10" x14ac:dyDescent="0.25">
      <c r="A2" s="2" t="s">
        <v>25</v>
      </c>
      <c r="B2" s="2" t="s">
        <v>34</v>
      </c>
      <c r="C2" s="2">
        <v>5000</v>
      </c>
      <c r="D2" s="2">
        <v>63.52</v>
      </c>
      <c r="E2" s="2">
        <v>120</v>
      </c>
      <c r="F2" s="2">
        <v>0</v>
      </c>
      <c r="G2" s="2">
        <v>0</v>
      </c>
      <c r="H2" s="2">
        <v>144</v>
      </c>
      <c r="I2"/>
    </row>
    <row r="3" spans="1:10" x14ac:dyDescent="0.25">
      <c r="A3" s="4" t="s">
        <v>25</v>
      </c>
      <c r="B3" s="4" t="s">
        <v>78</v>
      </c>
      <c r="C3" s="4">
        <v>998</v>
      </c>
      <c r="D3" s="4">
        <v>80.02</v>
      </c>
      <c r="E3" s="4">
        <v>143.26</v>
      </c>
      <c r="F3" s="4">
        <v>0</v>
      </c>
      <c r="G3" s="4">
        <v>0</v>
      </c>
      <c r="H3" s="4">
        <v>171.91</v>
      </c>
      <c r="I3"/>
    </row>
    <row r="4" spans="1:10" x14ac:dyDescent="0.25">
      <c r="A4" s="2" t="s">
        <v>25</v>
      </c>
      <c r="B4" s="2" t="s">
        <v>31</v>
      </c>
      <c r="C4" s="18">
        <v>3831</v>
      </c>
      <c r="D4" s="18">
        <v>517.04999999999995</v>
      </c>
      <c r="E4" s="18">
        <v>800</v>
      </c>
      <c r="F4" s="18">
        <v>68</v>
      </c>
      <c r="G4" s="18">
        <v>50</v>
      </c>
      <c r="H4" s="18"/>
      <c r="I4"/>
    </row>
    <row r="5" spans="1:10" x14ac:dyDescent="0.25">
      <c r="A5" s="4" t="s">
        <v>25</v>
      </c>
      <c r="B5" s="4" t="s">
        <v>32</v>
      </c>
      <c r="C5" s="18">
        <v>3831</v>
      </c>
      <c r="D5" s="18">
        <v>759.2</v>
      </c>
      <c r="E5" s="18">
        <v>1190</v>
      </c>
      <c r="F5" s="18">
        <v>102.54</v>
      </c>
      <c r="G5" s="18">
        <v>110</v>
      </c>
      <c r="H5" s="18"/>
      <c r="I5"/>
    </row>
    <row r="6" spans="1:10" x14ac:dyDescent="0.25">
      <c r="A6" s="2" t="s">
        <v>25</v>
      </c>
      <c r="B6" s="2" t="s">
        <v>33</v>
      </c>
      <c r="C6" s="2">
        <v>5000</v>
      </c>
      <c r="D6" s="2">
        <v>339.26</v>
      </c>
      <c r="E6" s="2">
        <v>568.83000000000004</v>
      </c>
      <c r="F6" s="2">
        <v>12.49</v>
      </c>
      <c r="G6" s="2">
        <v>14.5</v>
      </c>
      <c r="H6" s="2">
        <v>700</v>
      </c>
      <c r="I6"/>
    </row>
    <row r="7" spans="1:10" x14ac:dyDescent="0.25">
      <c r="A7" s="4" t="s">
        <v>25</v>
      </c>
      <c r="B7" s="4" t="s">
        <v>27</v>
      </c>
      <c r="C7" s="4">
        <v>341</v>
      </c>
      <c r="D7" s="4">
        <v>180.58</v>
      </c>
      <c r="E7" s="4">
        <v>300</v>
      </c>
      <c r="F7" s="4">
        <v>0</v>
      </c>
      <c r="G7" s="4">
        <v>0</v>
      </c>
      <c r="H7" s="4">
        <v>360</v>
      </c>
      <c r="I7"/>
    </row>
    <row r="8" spans="1:10" x14ac:dyDescent="0.25">
      <c r="A8" s="2">
        <v>100000079</v>
      </c>
      <c r="B8" s="2" t="s">
        <v>28</v>
      </c>
      <c r="C8" s="2">
        <v>5000</v>
      </c>
      <c r="D8" s="2">
        <v>32.83</v>
      </c>
      <c r="E8" s="2">
        <v>74.73</v>
      </c>
      <c r="F8" s="2">
        <v>10.9</v>
      </c>
      <c r="G8" s="2">
        <v>11.33</v>
      </c>
      <c r="H8" s="2">
        <v>103.27</v>
      </c>
      <c r="I8"/>
    </row>
    <row r="9" spans="1:10" x14ac:dyDescent="0.25">
      <c r="A9" s="4">
        <v>100000080</v>
      </c>
      <c r="B9" s="4" t="s">
        <v>29</v>
      </c>
      <c r="C9" s="18">
        <v>3831</v>
      </c>
      <c r="D9" s="18">
        <v>50.36</v>
      </c>
      <c r="E9" s="18">
        <v>83.31</v>
      </c>
      <c r="F9" s="18">
        <v>46.19</v>
      </c>
      <c r="G9" s="18">
        <v>34.86</v>
      </c>
      <c r="H9" s="18"/>
      <c r="I9"/>
    </row>
    <row r="10" spans="1:10" x14ac:dyDescent="0.25">
      <c r="A10" s="2" t="s">
        <v>25</v>
      </c>
      <c r="B10" s="2" t="s">
        <v>30</v>
      </c>
      <c r="C10" s="18">
        <v>3831</v>
      </c>
      <c r="D10" s="18">
        <v>559.28</v>
      </c>
      <c r="E10" s="18">
        <v>940</v>
      </c>
      <c r="F10" s="18">
        <v>143</v>
      </c>
      <c r="G10" s="18">
        <v>120</v>
      </c>
      <c r="H10" s="18"/>
      <c r="I10"/>
    </row>
    <row r="11" spans="1:10" x14ac:dyDescent="0.25">
      <c r="A11" s="4" t="s">
        <v>25</v>
      </c>
      <c r="B11" s="4">
        <v>258347</v>
      </c>
      <c r="C11" s="4">
        <v>5000</v>
      </c>
      <c r="D11" s="4">
        <v>258.5</v>
      </c>
      <c r="E11" s="4">
        <v>420</v>
      </c>
      <c r="F11" s="4">
        <v>10.16</v>
      </c>
      <c r="G11" s="4">
        <v>10.16</v>
      </c>
      <c r="H11" s="4">
        <v>516.19000000000005</v>
      </c>
      <c r="I11"/>
    </row>
    <row r="12" spans="1:10" x14ac:dyDescent="0.25">
      <c r="A12" s="2">
        <v>100000081</v>
      </c>
      <c r="B12" s="2" t="s">
        <v>35</v>
      </c>
      <c r="C12" s="2">
        <v>5000</v>
      </c>
      <c r="D12" s="2">
        <v>13.39</v>
      </c>
      <c r="E12" s="2">
        <v>47.48</v>
      </c>
      <c r="F12" s="2">
        <v>10.16</v>
      </c>
      <c r="G12" s="2">
        <v>10.16</v>
      </c>
      <c r="H12" s="2">
        <v>69.17</v>
      </c>
      <c r="I12"/>
    </row>
    <row r="13" spans="1:10" x14ac:dyDescent="0.25">
      <c r="A13" s="4">
        <v>100000082</v>
      </c>
      <c r="B13" s="4" t="s">
        <v>36</v>
      </c>
      <c r="C13" s="4">
        <v>5000</v>
      </c>
      <c r="D13" s="4">
        <v>20.75</v>
      </c>
      <c r="E13" s="4">
        <v>34.79</v>
      </c>
      <c r="F13" s="4">
        <v>10.16</v>
      </c>
      <c r="G13" s="4">
        <v>10.16</v>
      </c>
      <c r="H13" s="4">
        <v>53.94</v>
      </c>
      <c r="I13"/>
    </row>
    <row r="14" spans="1:10" x14ac:dyDescent="0.25">
      <c r="A14" s="2" t="s">
        <v>25</v>
      </c>
      <c r="B14" s="2" t="s">
        <v>37</v>
      </c>
      <c r="C14" s="2">
        <v>5000</v>
      </c>
      <c r="D14" s="2">
        <v>30.18</v>
      </c>
      <c r="E14" s="2">
        <v>51</v>
      </c>
      <c r="F14" s="2">
        <v>0</v>
      </c>
      <c r="G14" s="2">
        <v>0</v>
      </c>
      <c r="H14" s="2">
        <v>61.2</v>
      </c>
      <c r="I14"/>
    </row>
    <row r="15" spans="1:10" x14ac:dyDescent="0.25">
      <c r="A15" s="4" t="s">
        <v>25</v>
      </c>
      <c r="B15" s="4" t="s">
        <v>38</v>
      </c>
      <c r="C15" s="4">
        <v>341</v>
      </c>
      <c r="D15" s="4">
        <v>14.7</v>
      </c>
      <c r="E15" s="4">
        <v>33.6</v>
      </c>
      <c r="F15" s="4">
        <v>0</v>
      </c>
      <c r="G15" s="4">
        <v>0</v>
      </c>
      <c r="H15" s="4">
        <v>40.32</v>
      </c>
      <c r="I15" s="20"/>
      <c r="J15" s="21"/>
    </row>
    <row r="16" spans="1:10" x14ac:dyDescent="0.25">
      <c r="A16" s="2" t="s">
        <v>25</v>
      </c>
      <c r="B16" s="2">
        <v>258309</v>
      </c>
      <c r="C16" s="2">
        <v>5000</v>
      </c>
      <c r="D16" s="2">
        <v>6.08</v>
      </c>
      <c r="E16" s="2">
        <v>15</v>
      </c>
      <c r="F16" s="2">
        <v>0</v>
      </c>
      <c r="G16" s="2">
        <v>0</v>
      </c>
      <c r="H16" s="2">
        <v>18</v>
      </c>
      <c r="I16" s="20"/>
      <c r="J16" s="21"/>
    </row>
    <row r="17" spans="1:10" x14ac:dyDescent="0.25">
      <c r="A17" s="4" t="s">
        <v>25</v>
      </c>
      <c r="B17" s="4" t="s">
        <v>39</v>
      </c>
      <c r="C17" s="4">
        <v>5000</v>
      </c>
      <c r="D17" s="4">
        <v>45.92</v>
      </c>
      <c r="E17" s="4">
        <v>92.28</v>
      </c>
      <c r="F17" s="4">
        <v>0</v>
      </c>
      <c r="G17" s="4">
        <v>0</v>
      </c>
      <c r="H17" s="4">
        <v>110.74</v>
      </c>
      <c r="I17" s="20"/>
      <c r="J17" s="21"/>
    </row>
    <row r="18" spans="1:10" x14ac:dyDescent="0.25">
      <c r="A18" s="2">
        <v>100000083</v>
      </c>
      <c r="B18" s="2" t="s">
        <v>40</v>
      </c>
      <c r="C18" s="2">
        <v>5000</v>
      </c>
      <c r="D18" s="2">
        <v>64.03</v>
      </c>
      <c r="E18" s="2">
        <v>112.54</v>
      </c>
      <c r="F18" s="2">
        <v>11.5</v>
      </c>
      <c r="G18" s="2">
        <v>10.75</v>
      </c>
      <c r="H18" s="2">
        <v>147.94999999999999</v>
      </c>
      <c r="I18"/>
    </row>
    <row r="19" spans="1:10" x14ac:dyDescent="0.25">
      <c r="A19" s="4">
        <v>100000085</v>
      </c>
      <c r="B19" s="4" t="s">
        <v>41</v>
      </c>
      <c r="C19" s="4">
        <v>5000</v>
      </c>
      <c r="D19" s="4">
        <v>85.72</v>
      </c>
      <c r="E19" s="4">
        <v>144.80000000000001</v>
      </c>
      <c r="F19" s="4">
        <v>0</v>
      </c>
      <c r="G19" s="4">
        <v>0</v>
      </c>
      <c r="H19" s="4">
        <v>173.76</v>
      </c>
      <c r="I19" s="20"/>
      <c r="J19" s="21"/>
    </row>
    <row r="20" spans="1:10" x14ac:dyDescent="0.25">
      <c r="A20" s="2">
        <v>100000086</v>
      </c>
      <c r="B20" s="2" t="s">
        <v>42</v>
      </c>
      <c r="C20" s="2">
        <v>5000</v>
      </c>
      <c r="D20" s="2">
        <v>7.22</v>
      </c>
      <c r="E20" s="2">
        <v>20</v>
      </c>
      <c r="F20" s="2">
        <v>10.16</v>
      </c>
      <c r="G20" s="2">
        <v>10.75</v>
      </c>
      <c r="H20" s="2">
        <v>36.9</v>
      </c>
      <c r="I20"/>
    </row>
    <row r="21" spans="1:10" x14ac:dyDescent="0.25">
      <c r="A21" s="4" t="s">
        <v>25</v>
      </c>
      <c r="B21" s="4" t="s">
        <v>43</v>
      </c>
      <c r="C21" s="4">
        <v>5000</v>
      </c>
      <c r="D21" s="4">
        <v>18.37</v>
      </c>
      <c r="E21" s="4">
        <v>31</v>
      </c>
      <c r="F21" s="4">
        <v>0</v>
      </c>
      <c r="G21" s="4">
        <v>0</v>
      </c>
      <c r="H21" s="4">
        <v>37.200000000000003</v>
      </c>
      <c r="I21" s="20"/>
      <c r="J21" s="21"/>
    </row>
    <row r="22" spans="1:10" x14ac:dyDescent="0.25">
      <c r="A22" s="2">
        <v>100000087</v>
      </c>
      <c r="B22" s="2" t="s">
        <v>44</v>
      </c>
      <c r="C22" s="2">
        <v>5000</v>
      </c>
      <c r="D22" s="2">
        <v>6.27</v>
      </c>
      <c r="E22" s="2">
        <v>22</v>
      </c>
      <c r="F22" s="2">
        <v>10.16</v>
      </c>
      <c r="G22" s="2">
        <v>10.16</v>
      </c>
      <c r="H22" s="2">
        <v>38.590000000000003</v>
      </c>
      <c r="I22"/>
    </row>
    <row r="23" spans="1:10" x14ac:dyDescent="0.25">
      <c r="A23" s="4">
        <v>100000088</v>
      </c>
      <c r="B23" s="4" t="s">
        <v>45</v>
      </c>
      <c r="C23" s="4">
        <v>5000</v>
      </c>
      <c r="D23" s="4">
        <v>24.06</v>
      </c>
      <c r="E23" s="4">
        <v>81.28</v>
      </c>
      <c r="F23" s="4">
        <v>10.75</v>
      </c>
      <c r="G23" s="4">
        <v>11.33</v>
      </c>
      <c r="H23" s="4">
        <v>111.13</v>
      </c>
      <c r="I23"/>
    </row>
    <row r="24" spans="1:10" x14ac:dyDescent="0.25">
      <c r="A24" s="2" t="s">
        <v>25</v>
      </c>
      <c r="B24" s="2" t="s">
        <v>71</v>
      </c>
      <c r="C24" s="2">
        <v>341</v>
      </c>
      <c r="D24" s="2">
        <v>52.71</v>
      </c>
      <c r="E24" s="2">
        <v>101.28</v>
      </c>
      <c r="F24" s="2">
        <v>0</v>
      </c>
      <c r="G24" s="2">
        <v>0</v>
      </c>
      <c r="H24" s="2">
        <v>121.54</v>
      </c>
      <c r="I24" s="20"/>
      <c r="J24" s="21"/>
    </row>
    <row r="25" spans="1:10" x14ac:dyDescent="0.25">
      <c r="A25" s="4" t="s">
        <v>25</v>
      </c>
      <c r="B25" s="4" t="s">
        <v>70</v>
      </c>
      <c r="C25" s="4">
        <v>341</v>
      </c>
      <c r="D25" s="4">
        <v>204.05</v>
      </c>
      <c r="E25" s="4">
        <v>333.9</v>
      </c>
      <c r="F25" s="4">
        <v>0</v>
      </c>
      <c r="G25" s="4">
        <v>0</v>
      </c>
      <c r="H25" s="4">
        <v>400.68</v>
      </c>
      <c r="I25" s="20"/>
      <c r="J25" s="21"/>
    </row>
    <row r="26" spans="1:10" x14ac:dyDescent="0.25">
      <c r="A26" s="2" t="s">
        <v>25</v>
      </c>
      <c r="B26" s="2" t="s">
        <v>69</v>
      </c>
      <c r="C26" s="2">
        <v>341</v>
      </c>
      <c r="D26" s="2">
        <v>31.72</v>
      </c>
      <c r="E26" s="2">
        <v>66.56</v>
      </c>
      <c r="F26" s="2">
        <v>0</v>
      </c>
      <c r="G26" s="2">
        <v>0</v>
      </c>
      <c r="H26" s="2">
        <v>79.87</v>
      </c>
      <c r="I26" s="20"/>
      <c r="J26" s="21"/>
    </row>
    <row r="27" spans="1:10" x14ac:dyDescent="0.25">
      <c r="A27" s="4" t="s">
        <v>25</v>
      </c>
      <c r="B27" s="4" t="s">
        <v>68</v>
      </c>
      <c r="C27" s="4">
        <v>341</v>
      </c>
      <c r="D27" s="4">
        <v>6.39</v>
      </c>
      <c r="E27" s="4">
        <v>72.599999999999994</v>
      </c>
      <c r="F27" s="4">
        <v>0</v>
      </c>
      <c r="G27" s="4">
        <v>0</v>
      </c>
      <c r="H27" s="4">
        <v>87.12</v>
      </c>
      <c r="I27" s="20"/>
      <c r="J27" s="21"/>
    </row>
    <row r="28" spans="1:10" x14ac:dyDescent="0.25">
      <c r="A28" s="2" t="s">
        <v>25</v>
      </c>
      <c r="B28" s="2" t="s">
        <v>46</v>
      </c>
      <c r="C28" s="2">
        <v>5000</v>
      </c>
      <c r="D28" s="2">
        <v>153.13</v>
      </c>
      <c r="E28" s="2">
        <v>316.04000000000002</v>
      </c>
      <c r="F28" s="2">
        <v>12.49</v>
      </c>
      <c r="G28" s="2">
        <v>14.5</v>
      </c>
      <c r="H28" s="2">
        <v>396.65</v>
      </c>
      <c r="I28"/>
    </row>
    <row r="29" spans="1:10" x14ac:dyDescent="0.25">
      <c r="A29" s="4">
        <v>100000089</v>
      </c>
      <c r="B29" s="4" t="s">
        <v>47</v>
      </c>
      <c r="C29" s="4">
        <v>5000</v>
      </c>
      <c r="D29" s="4">
        <v>12.64</v>
      </c>
      <c r="E29" s="4">
        <v>40</v>
      </c>
      <c r="F29" s="4">
        <v>10.11</v>
      </c>
      <c r="G29" s="4">
        <v>10.71</v>
      </c>
      <c r="H29" s="4">
        <v>60.85</v>
      </c>
      <c r="I29"/>
    </row>
    <row r="30" spans="1:10" x14ac:dyDescent="0.25">
      <c r="A30" s="2" t="s">
        <v>25</v>
      </c>
      <c r="B30" s="2" t="s">
        <v>48</v>
      </c>
      <c r="C30" s="18">
        <v>3831</v>
      </c>
      <c r="D30" s="18">
        <v>576.32000000000005</v>
      </c>
      <c r="E30" s="18">
        <v>1015</v>
      </c>
      <c r="F30" s="18">
        <v>75.77</v>
      </c>
      <c r="G30" s="18">
        <v>95</v>
      </c>
      <c r="H30" s="18"/>
      <c r="I30"/>
    </row>
    <row r="31" spans="1:10" x14ac:dyDescent="0.25">
      <c r="A31" s="4" t="s">
        <v>25</v>
      </c>
      <c r="B31" s="4" t="s">
        <v>67</v>
      </c>
      <c r="C31" s="4">
        <v>341</v>
      </c>
      <c r="D31" s="4">
        <v>52.59</v>
      </c>
      <c r="E31" s="4">
        <v>103.11</v>
      </c>
      <c r="F31" s="4">
        <v>0</v>
      </c>
      <c r="G31" s="4">
        <v>0</v>
      </c>
      <c r="H31" s="4">
        <v>123.73</v>
      </c>
      <c r="I31" s="20"/>
      <c r="J31" s="21"/>
    </row>
    <row r="32" spans="1:10" x14ac:dyDescent="0.25">
      <c r="A32" s="2">
        <v>100000090</v>
      </c>
      <c r="B32" s="2" t="s">
        <v>49</v>
      </c>
      <c r="C32" s="2">
        <v>5000</v>
      </c>
      <c r="D32" s="2">
        <v>27.97</v>
      </c>
      <c r="E32" s="2">
        <v>46.65</v>
      </c>
      <c r="F32" s="2">
        <v>10.71</v>
      </c>
      <c r="G32" s="2">
        <v>10.11</v>
      </c>
      <c r="H32" s="2">
        <v>68.11</v>
      </c>
      <c r="I32"/>
    </row>
    <row r="33" spans="1:11" x14ac:dyDescent="0.25">
      <c r="A33" s="4">
        <v>100000091</v>
      </c>
      <c r="B33" s="4" t="s">
        <v>50</v>
      </c>
      <c r="C33" s="4">
        <v>5000</v>
      </c>
      <c r="D33" s="4">
        <v>79.67</v>
      </c>
      <c r="E33" s="4">
        <v>211.27</v>
      </c>
      <c r="F33" s="4">
        <v>12.45</v>
      </c>
      <c r="G33" s="4">
        <v>13.02</v>
      </c>
      <c r="H33" s="4">
        <v>269.14999999999998</v>
      </c>
      <c r="I33"/>
    </row>
    <row r="34" spans="1:11" x14ac:dyDescent="0.25">
      <c r="A34" s="2">
        <v>100000092</v>
      </c>
      <c r="B34" s="2" t="s">
        <v>52</v>
      </c>
      <c r="C34" s="2">
        <v>5000</v>
      </c>
      <c r="D34" s="2">
        <v>15.09</v>
      </c>
      <c r="E34" s="2">
        <v>25.16</v>
      </c>
      <c r="F34" s="2">
        <v>10.11</v>
      </c>
      <c r="G34" s="2">
        <v>10.11</v>
      </c>
      <c r="H34" s="2">
        <v>42.32</v>
      </c>
      <c r="I34"/>
    </row>
    <row r="35" spans="1:11" x14ac:dyDescent="0.25">
      <c r="A35" s="4" t="s">
        <v>25</v>
      </c>
      <c r="B35" s="4" t="s">
        <v>51</v>
      </c>
      <c r="C35" s="18">
        <v>3831</v>
      </c>
      <c r="D35" s="18">
        <v>320.10000000000002</v>
      </c>
      <c r="E35" s="18">
        <v>530</v>
      </c>
      <c r="F35" s="18">
        <v>41.16</v>
      </c>
      <c r="G35" s="18">
        <v>20</v>
      </c>
      <c r="H35" s="18"/>
      <c r="I35"/>
    </row>
    <row r="36" spans="1:11" x14ac:dyDescent="0.25">
      <c r="A36" s="2">
        <v>100000093</v>
      </c>
      <c r="B36" s="2" t="s">
        <v>53</v>
      </c>
      <c r="C36" s="2">
        <v>5000</v>
      </c>
      <c r="D36" s="2">
        <v>13.5</v>
      </c>
      <c r="E36" s="2">
        <v>22.5</v>
      </c>
      <c r="F36" s="2">
        <v>10.71</v>
      </c>
      <c r="G36" s="2">
        <v>10.71</v>
      </c>
      <c r="H36" s="2">
        <v>39.130000000000003</v>
      </c>
      <c r="I36"/>
    </row>
    <row r="37" spans="1:11" x14ac:dyDescent="0.25">
      <c r="A37" s="4">
        <v>100000094</v>
      </c>
      <c r="B37" s="4" t="s">
        <v>54</v>
      </c>
      <c r="C37" s="4">
        <v>5000</v>
      </c>
      <c r="D37" s="4">
        <v>32.380000000000003</v>
      </c>
      <c r="E37" s="4">
        <v>94</v>
      </c>
      <c r="F37" s="4">
        <v>11.29</v>
      </c>
      <c r="G37" s="4">
        <v>11.29</v>
      </c>
      <c r="H37" s="4">
        <v>126.35</v>
      </c>
      <c r="I37"/>
    </row>
    <row r="38" spans="1:11" x14ac:dyDescent="0.25">
      <c r="A38" s="2" t="s">
        <v>25</v>
      </c>
      <c r="B38" s="2" t="s">
        <v>66</v>
      </c>
      <c r="C38" s="2">
        <v>341</v>
      </c>
      <c r="D38" s="2">
        <v>6.32</v>
      </c>
      <c r="E38" s="2">
        <v>52.8</v>
      </c>
      <c r="F38" s="2">
        <v>0</v>
      </c>
      <c r="G38" s="2">
        <v>0</v>
      </c>
      <c r="H38" s="2">
        <v>63.36</v>
      </c>
      <c r="I38" s="20"/>
      <c r="J38" s="21"/>
    </row>
    <row r="39" spans="1:11" x14ac:dyDescent="0.25">
      <c r="A39" s="4" t="s">
        <v>25</v>
      </c>
      <c r="B39" s="4" t="s">
        <v>65</v>
      </c>
      <c r="C39" s="4">
        <v>341</v>
      </c>
      <c r="D39" s="4">
        <v>7.96</v>
      </c>
      <c r="E39" s="4">
        <v>17.28</v>
      </c>
      <c r="F39" s="4">
        <v>0</v>
      </c>
      <c r="G39" s="4">
        <v>0</v>
      </c>
      <c r="H39" s="4">
        <v>20.74</v>
      </c>
      <c r="I39" s="20"/>
      <c r="J39" s="21"/>
    </row>
    <row r="40" spans="1:11" x14ac:dyDescent="0.25">
      <c r="A40" s="2">
        <v>100000096</v>
      </c>
      <c r="B40" s="2" t="s">
        <v>55</v>
      </c>
      <c r="C40" s="2">
        <v>5000</v>
      </c>
      <c r="D40" s="2">
        <v>3.62</v>
      </c>
      <c r="E40" s="2">
        <v>6.03</v>
      </c>
      <c r="F40" s="2">
        <v>10.029999999999999</v>
      </c>
      <c r="G40" s="2">
        <v>10.029999999999999</v>
      </c>
      <c r="H40" s="2">
        <v>19.27</v>
      </c>
      <c r="I40"/>
    </row>
    <row r="41" spans="1:11" x14ac:dyDescent="0.25">
      <c r="A41" s="4" t="s">
        <v>25</v>
      </c>
      <c r="B41" s="4" t="s">
        <v>60</v>
      </c>
      <c r="C41" s="4">
        <v>5000</v>
      </c>
      <c r="D41" s="4">
        <v>495.05</v>
      </c>
      <c r="E41" s="4">
        <v>867.75</v>
      </c>
      <c r="F41" s="4">
        <v>22.96</v>
      </c>
      <c r="G41" s="4">
        <v>20</v>
      </c>
      <c r="H41" s="4">
        <v>1065.3</v>
      </c>
      <c r="I41"/>
    </row>
    <row r="42" spans="1:11" x14ac:dyDescent="0.25">
      <c r="A42" s="2" t="s">
        <v>25</v>
      </c>
      <c r="B42" s="2" t="s">
        <v>61</v>
      </c>
      <c r="C42" s="18">
        <v>3831</v>
      </c>
      <c r="D42" s="18">
        <v>1423.5</v>
      </c>
      <c r="E42" s="18">
        <v>2150</v>
      </c>
      <c r="F42" s="18">
        <v>218.35</v>
      </c>
      <c r="G42" s="18">
        <v>200</v>
      </c>
      <c r="H42" s="18"/>
      <c r="I42"/>
    </row>
    <row r="43" spans="1:11" x14ac:dyDescent="0.25">
      <c r="A43" s="4" t="s">
        <v>25</v>
      </c>
      <c r="B43" s="4" t="s">
        <v>56</v>
      </c>
      <c r="C43" s="4">
        <v>427</v>
      </c>
      <c r="D43" s="4">
        <v>16.14</v>
      </c>
      <c r="E43" s="4">
        <v>49.73</v>
      </c>
      <c r="F43" s="4">
        <v>10.7</v>
      </c>
      <c r="G43" s="4">
        <v>14.5</v>
      </c>
      <c r="H43" s="4">
        <v>77.08</v>
      </c>
      <c r="I43"/>
    </row>
    <row r="44" spans="1:11" x14ac:dyDescent="0.25">
      <c r="A44" s="2" t="s">
        <v>25</v>
      </c>
      <c r="B44" s="2" t="s">
        <v>64</v>
      </c>
      <c r="C44" s="2">
        <v>341</v>
      </c>
      <c r="D44" s="2">
        <v>28.95</v>
      </c>
      <c r="E44" s="2">
        <v>68.3</v>
      </c>
      <c r="F44" s="2">
        <v>0</v>
      </c>
      <c r="G44" s="2">
        <v>0</v>
      </c>
      <c r="H44" s="2">
        <v>81.96</v>
      </c>
      <c r="I44" s="20"/>
      <c r="J44" s="21"/>
    </row>
    <row r="45" spans="1:11" x14ac:dyDescent="0.25">
      <c r="A45" s="4">
        <v>100000098</v>
      </c>
      <c r="B45" s="4" t="s">
        <v>57</v>
      </c>
      <c r="C45" s="4">
        <v>5000</v>
      </c>
      <c r="D45" s="4">
        <v>6.47</v>
      </c>
      <c r="E45" s="4">
        <v>22</v>
      </c>
      <c r="F45" s="4">
        <v>10.029999999999999</v>
      </c>
      <c r="G45" s="4">
        <v>10.029999999999999</v>
      </c>
      <c r="H45" s="4">
        <v>38.44</v>
      </c>
      <c r="I45"/>
    </row>
    <row r="46" spans="1:11" x14ac:dyDescent="0.25">
      <c r="A46" s="2">
        <v>100000099</v>
      </c>
      <c r="B46" s="2" t="s">
        <v>59</v>
      </c>
      <c r="C46" s="2">
        <v>5000</v>
      </c>
      <c r="D46" s="2">
        <v>0</v>
      </c>
      <c r="E46" s="2">
        <v>350</v>
      </c>
      <c r="F46" s="2">
        <v>16.07</v>
      </c>
      <c r="G46" s="2">
        <v>14.07</v>
      </c>
      <c r="H46" s="2">
        <v>436.88</v>
      </c>
      <c r="I46" s="22"/>
      <c r="J46" s="23"/>
      <c r="K46" s="23"/>
    </row>
    <row r="47" spans="1:11" x14ac:dyDescent="0.25">
      <c r="A47" s="4">
        <v>100000100</v>
      </c>
      <c r="B47" s="4">
        <v>260721</v>
      </c>
      <c r="C47" s="18">
        <v>3831</v>
      </c>
      <c r="D47" s="18">
        <v>484.08</v>
      </c>
      <c r="E47" s="18">
        <v>829.5</v>
      </c>
      <c r="F47" s="18"/>
      <c r="G47" s="18">
        <v>20.62</v>
      </c>
      <c r="H47" s="18"/>
      <c r="I47"/>
    </row>
    <row r="48" spans="1:11" x14ac:dyDescent="0.25">
      <c r="A48" s="2">
        <v>100000101</v>
      </c>
      <c r="B48" s="2" t="s">
        <v>58</v>
      </c>
      <c r="C48" s="2">
        <v>5000</v>
      </c>
      <c r="D48" s="2">
        <v>6.47</v>
      </c>
      <c r="E48" s="2">
        <v>22</v>
      </c>
      <c r="F48" s="2">
        <v>9.98</v>
      </c>
      <c r="G48" s="2">
        <v>9.98</v>
      </c>
      <c r="H48" s="2">
        <v>38.380000000000003</v>
      </c>
      <c r="I48"/>
    </row>
    <row r="49" spans="1:9" x14ac:dyDescent="0.25">
      <c r="A49" s="4" t="s">
        <v>25</v>
      </c>
      <c r="B49" s="4" t="s">
        <v>63</v>
      </c>
      <c r="C49" s="4">
        <v>341</v>
      </c>
      <c r="D49" s="4">
        <v>28.52</v>
      </c>
      <c r="E49" s="4">
        <v>124.38</v>
      </c>
      <c r="F49" s="4">
        <v>0</v>
      </c>
      <c r="G49" s="4">
        <v>0</v>
      </c>
      <c r="H49" s="4">
        <v>149.26</v>
      </c>
      <c r="I49"/>
    </row>
    <row r="50" spans="1:9" x14ac:dyDescent="0.25">
      <c r="A50" s="2">
        <v>100000104</v>
      </c>
      <c r="B50" s="2" t="s">
        <v>72</v>
      </c>
      <c r="C50" s="2">
        <v>5000</v>
      </c>
      <c r="D50" s="2">
        <v>50.77</v>
      </c>
      <c r="E50" s="2">
        <v>69</v>
      </c>
      <c r="F50" s="2"/>
      <c r="G50" s="2">
        <v>11.71</v>
      </c>
      <c r="H50" s="2">
        <v>96.85</v>
      </c>
      <c r="I50"/>
    </row>
    <row r="51" spans="1:9" x14ac:dyDescent="0.25">
      <c r="A51" s="4" t="s">
        <v>25</v>
      </c>
      <c r="B51" s="4" t="s">
        <v>62</v>
      </c>
      <c r="C51" s="4">
        <v>5000</v>
      </c>
      <c r="D51" s="4">
        <v>65.75</v>
      </c>
      <c r="E51" s="4">
        <v>150.30000000000001</v>
      </c>
      <c r="F51" s="4">
        <v>0</v>
      </c>
      <c r="G51" s="4">
        <v>0</v>
      </c>
      <c r="H51" s="4">
        <v>180.36</v>
      </c>
      <c r="I51"/>
    </row>
    <row r="52" spans="1:9" x14ac:dyDescent="0.25">
      <c r="A52" s="2">
        <v>100000105</v>
      </c>
      <c r="B52" s="2" t="s">
        <v>74</v>
      </c>
      <c r="C52" s="2">
        <v>5000</v>
      </c>
      <c r="D52" s="2">
        <v>32.380000000000003</v>
      </c>
      <c r="E52" s="2">
        <v>94</v>
      </c>
      <c r="F52" s="2"/>
      <c r="G52" s="2">
        <v>11.15</v>
      </c>
      <c r="H52" s="2">
        <v>126.18</v>
      </c>
      <c r="I52"/>
    </row>
    <row r="53" spans="1:9" x14ac:dyDescent="0.25">
      <c r="A53" s="4">
        <v>100000106</v>
      </c>
      <c r="B53" s="4" t="s">
        <v>76</v>
      </c>
      <c r="C53" s="4">
        <v>5000</v>
      </c>
      <c r="D53" s="4">
        <v>51.34</v>
      </c>
      <c r="E53" s="4">
        <v>85.89</v>
      </c>
      <c r="F53" s="4"/>
      <c r="G53" s="4">
        <v>13.42</v>
      </c>
      <c r="H53" s="4">
        <v>119.17</v>
      </c>
      <c r="I53"/>
    </row>
    <row r="54" spans="1:9" x14ac:dyDescent="0.25">
      <c r="A54" s="2">
        <v>100000107</v>
      </c>
      <c r="B54" s="2" t="s">
        <v>73</v>
      </c>
      <c r="C54" s="2">
        <v>5000</v>
      </c>
      <c r="D54" s="2">
        <v>28.48</v>
      </c>
      <c r="E54" s="2">
        <v>47.48</v>
      </c>
      <c r="F54" s="2"/>
      <c r="G54" s="2">
        <v>9.98</v>
      </c>
      <c r="H54" s="2">
        <v>68.95</v>
      </c>
      <c r="I54"/>
    </row>
    <row r="55" spans="1:9" x14ac:dyDescent="0.25">
      <c r="A55" s="4" t="s">
        <v>25</v>
      </c>
      <c r="B55" s="4" t="s">
        <v>75</v>
      </c>
      <c r="C55" s="4">
        <v>5000</v>
      </c>
      <c r="D55" s="4">
        <v>24.71</v>
      </c>
      <c r="E55" s="4">
        <v>34</v>
      </c>
      <c r="F55" s="4">
        <v>0</v>
      </c>
      <c r="G55" s="4">
        <v>0</v>
      </c>
      <c r="H55" s="4">
        <v>40.799999999999997</v>
      </c>
      <c r="I55"/>
    </row>
    <row r="56" spans="1:9" x14ac:dyDescent="0.25">
      <c r="A56" s="2" t="s">
        <v>25</v>
      </c>
      <c r="B56" s="2">
        <v>260717</v>
      </c>
      <c r="C56" s="18">
        <v>3831</v>
      </c>
      <c r="D56" s="18">
        <v>1423.5</v>
      </c>
      <c r="E56" s="18">
        <v>2190</v>
      </c>
      <c r="F56" s="18"/>
      <c r="G56" s="18">
        <v>200</v>
      </c>
      <c r="H56" s="18"/>
      <c r="I56"/>
    </row>
    <row r="57" spans="1:9" x14ac:dyDescent="0.25">
      <c r="A57" s="4" t="s">
        <v>25</v>
      </c>
      <c r="B57" s="4">
        <v>260796</v>
      </c>
      <c r="C57" s="18">
        <v>3831</v>
      </c>
      <c r="D57" s="18">
        <v>723.45</v>
      </c>
      <c r="E57" s="18">
        <v>1223.97</v>
      </c>
      <c r="F57" s="18"/>
      <c r="G57" s="18">
        <v>120</v>
      </c>
      <c r="H57" s="18"/>
      <c r="I57"/>
    </row>
    <row r="58" spans="1:9" x14ac:dyDescent="0.25">
      <c r="A58" s="2">
        <v>100000108</v>
      </c>
      <c r="B58" s="2">
        <v>260699</v>
      </c>
      <c r="C58" s="2">
        <v>5000</v>
      </c>
      <c r="D58" s="2">
        <v>161.5</v>
      </c>
      <c r="E58" s="2">
        <v>248.9</v>
      </c>
      <c r="F58" s="2"/>
      <c r="G58" s="2">
        <v>11.52</v>
      </c>
      <c r="H58" s="2">
        <v>312.5</v>
      </c>
      <c r="I58"/>
    </row>
    <row r="59" spans="1:9" x14ac:dyDescent="0.25">
      <c r="A59" s="4" t="s">
        <v>25</v>
      </c>
      <c r="B59" s="4" t="s">
        <v>77</v>
      </c>
      <c r="C59" s="4">
        <v>5000</v>
      </c>
      <c r="D59" s="4">
        <v>105.72</v>
      </c>
      <c r="E59" s="4">
        <v>206.48</v>
      </c>
      <c r="F59" s="4">
        <v>0</v>
      </c>
      <c r="G59" s="4">
        <v>0</v>
      </c>
      <c r="H59" s="4">
        <v>247.78</v>
      </c>
      <c r="I59"/>
    </row>
    <row r="60" spans="1:9" x14ac:dyDescent="0.25">
      <c r="A60" s="2">
        <v>100000109</v>
      </c>
      <c r="B60" s="2">
        <v>260670</v>
      </c>
      <c r="C60" s="18">
        <v>3831</v>
      </c>
      <c r="D60" s="18">
        <v>198.37</v>
      </c>
      <c r="E60" s="18">
        <v>294.32</v>
      </c>
      <c r="F60" s="18"/>
      <c r="G60" s="18">
        <v>32.130000000000003</v>
      </c>
      <c r="H60" s="18"/>
      <c r="I60"/>
    </row>
    <row r="61" spans="1:9" x14ac:dyDescent="0.25">
      <c r="A61" s="4" t="s">
        <v>25</v>
      </c>
      <c r="B61" s="4">
        <v>260720</v>
      </c>
      <c r="C61" s="4">
        <v>5000</v>
      </c>
      <c r="D61" s="4">
        <v>45.36</v>
      </c>
      <c r="E61" s="4">
        <v>170</v>
      </c>
      <c r="F61" s="4">
        <v>10.92</v>
      </c>
      <c r="G61" s="4">
        <v>13</v>
      </c>
      <c r="H61" s="4">
        <v>219.6</v>
      </c>
      <c r="I61"/>
    </row>
    <row r="62" spans="1:9" x14ac:dyDescent="0.25">
      <c r="A62" s="2">
        <v>100000110</v>
      </c>
      <c r="B62" s="26">
        <v>260795</v>
      </c>
      <c r="C62" s="26">
        <v>5000</v>
      </c>
      <c r="D62" s="2">
        <v>271.02999999999997</v>
      </c>
      <c r="E62" s="2">
        <v>460.94</v>
      </c>
      <c r="F62" s="26"/>
      <c r="G62" s="2">
        <v>21.86</v>
      </c>
      <c r="H62" s="26">
        <v>718.3</v>
      </c>
      <c r="I62"/>
    </row>
    <row r="63" spans="1:9" x14ac:dyDescent="0.25">
      <c r="A63" s="4">
        <v>100000111</v>
      </c>
      <c r="B63" s="27"/>
      <c r="C63" s="27"/>
      <c r="D63" s="4">
        <v>63.59</v>
      </c>
      <c r="E63" s="4">
        <v>129.06</v>
      </c>
      <c r="F63" s="27"/>
      <c r="G63" s="4">
        <v>13.28</v>
      </c>
      <c r="H63" s="27"/>
      <c r="I63"/>
    </row>
    <row r="64" spans="1:9" x14ac:dyDescent="0.25">
      <c r="A64" s="2" t="s">
        <v>25</v>
      </c>
      <c r="B64" s="2"/>
      <c r="C64" s="2"/>
      <c r="D64" s="2">
        <v>263.56</v>
      </c>
      <c r="E64" s="2">
        <v>607.65</v>
      </c>
      <c r="F64" s="2"/>
      <c r="G64" s="2">
        <v>20</v>
      </c>
      <c r="H64" s="2"/>
      <c r="I64"/>
    </row>
    <row r="65" spans="1:9" x14ac:dyDescent="0.25">
      <c r="A65" s="2" t="s">
        <v>25</v>
      </c>
      <c r="B65" s="2"/>
      <c r="C65" s="2"/>
      <c r="D65" s="2">
        <v>477.2</v>
      </c>
      <c r="E65" s="2">
        <v>1432</v>
      </c>
      <c r="F65" s="2"/>
      <c r="G65" s="2">
        <v>20</v>
      </c>
      <c r="H65" s="2"/>
      <c r="I65"/>
    </row>
    <row r="66" spans="1:9" x14ac:dyDescent="0.25">
      <c r="A66" s="4" t="s">
        <v>25</v>
      </c>
      <c r="B66" s="4">
        <v>260782</v>
      </c>
      <c r="C66" s="4">
        <v>5000</v>
      </c>
      <c r="D66" s="4">
        <v>132.96</v>
      </c>
      <c r="E66" s="4">
        <v>230</v>
      </c>
      <c r="F66" s="4">
        <v>0</v>
      </c>
      <c r="G66" s="4">
        <v>0</v>
      </c>
      <c r="H66" s="4">
        <v>276</v>
      </c>
      <c r="I66"/>
    </row>
    <row r="67" spans="1:9" x14ac:dyDescent="0.25">
      <c r="A67" s="2" t="s">
        <v>25</v>
      </c>
      <c r="B67" s="2"/>
      <c r="C67" s="2"/>
      <c r="D67" s="2">
        <v>165.95</v>
      </c>
      <c r="E67" s="2">
        <v>244.75</v>
      </c>
      <c r="F67" s="2"/>
      <c r="G67" s="2">
        <v>17</v>
      </c>
      <c r="H67" s="2"/>
      <c r="I67"/>
    </row>
    <row r="68" spans="1:9" x14ac:dyDescent="0.25">
      <c r="A68" s="4" t="s">
        <v>25</v>
      </c>
      <c r="B68" s="4">
        <v>260800</v>
      </c>
      <c r="C68" s="4">
        <v>5000</v>
      </c>
      <c r="D68" s="4">
        <v>28.05</v>
      </c>
      <c r="E68" s="4">
        <v>56</v>
      </c>
      <c r="F68" s="4">
        <v>0</v>
      </c>
      <c r="G68" s="4">
        <v>0</v>
      </c>
      <c r="H68" s="4">
        <v>67.2</v>
      </c>
      <c r="I68"/>
    </row>
    <row r="69" spans="1:9" x14ac:dyDescent="0.25">
      <c r="A69" s="2"/>
      <c r="B69" s="2"/>
      <c r="C69" s="2"/>
      <c r="D69" s="2"/>
      <c r="E69" s="2"/>
      <c r="F69" s="2"/>
      <c r="G69" s="2"/>
      <c r="H69" s="2"/>
      <c r="I69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/>
    </row>
    <row r="71" spans="1:9" x14ac:dyDescent="0.25">
      <c r="A71" s="2"/>
      <c r="B71" s="2"/>
      <c r="C71" s="2"/>
      <c r="D71" s="2"/>
      <c r="E71" s="2"/>
      <c r="F71" s="2"/>
      <c r="G71" s="2"/>
      <c r="H71" s="2"/>
      <c r="I71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/>
    </row>
    <row r="73" spans="1:9" x14ac:dyDescent="0.25">
      <c r="A73" s="2"/>
      <c r="B73" s="2"/>
      <c r="C73" s="2"/>
      <c r="D73" s="2"/>
      <c r="E73" s="2"/>
      <c r="F73" s="2"/>
      <c r="G73" s="2"/>
      <c r="H73" s="2"/>
      <c r="I73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/>
    </row>
    <row r="75" spans="1:9" x14ac:dyDescent="0.25">
      <c r="A75" s="2"/>
      <c r="B75" s="2"/>
      <c r="C75" s="2"/>
      <c r="D75" s="2"/>
      <c r="E75" s="2"/>
      <c r="F75" s="2"/>
      <c r="G75" s="2"/>
      <c r="H75" s="2"/>
      <c r="I75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/>
    </row>
    <row r="77" spans="1:9" x14ac:dyDescent="0.25">
      <c r="A77" s="2"/>
      <c r="B77" s="2"/>
      <c r="C77" s="2"/>
      <c r="D77" s="2"/>
      <c r="E77" s="2"/>
      <c r="F77" s="2"/>
      <c r="G77" s="2"/>
      <c r="H77" s="2"/>
      <c r="I77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/>
    </row>
    <row r="79" spans="1:9" x14ac:dyDescent="0.25">
      <c r="A79" s="2"/>
      <c r="B79" s="2"/>
      <c r="C79" s="2"/>
      <c r="D79" s="2"/>
      <c r="E79" s="2"/>
      <c r="F79" s="2"/>
      <c r="G79" s="2"/>
      <c r="H79" s="2"/>
      <c r="I79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/>
    </row>
    <row r="81" spans="1:12" x14ac:dyDescent="0.25">
      <c r="A81" s="2"/>
      <c r="B81" s="2"/>
      <c r="C81" s="2"/>
      <c r="D81" s="2"/>
      <c r="E81" s="2"/>
      <c r="F81" s="2"/>
      <c r="G81" s="2"/>
      <c r="H81" s="2"/>
      <c r="I81"/>
    </row>
    <row r="90" spans="1:12" ht="15.75" thickBot="1" x14ac:dyDescent="0.3"/>
    <row r="91" spans="1:12" ht="15.75" thickBot="1" x14ac:dyDescent="0.3">
      <c r="K91" s="5" t="s">
        <v>26</v>
      </c>
      <c r="L91" s="6">
        <f>H93+F93</f>
        <v>22262.37</v>
      </c>
    </row>
    <row r="92" spans="1:12" ht="15.75" thickBot="1" x14ac:dyDescent="0.3">
      <c r="E92" s="1" t="s">
        <v>81</v>
      </c>
      <c r="F92" s="1" t="s">
        <v>82</v>
      </c>
    </row>
    <row r="93" spans="1:12" ht="15.75" thickBot="1" x14ac:dyDescent="0.3">
      <c r="E93" s="8">
        <f>SUM(D2:D92)</f>
        <v>11576.300000000003</v>
      </c>
      <c r="F93" s="9">
        <f>SUM(E2:E92)</f>
        <v>20838.48</v>
      </c>
      <c r="G93" s="9">
        <f>SUM(F2:F92)</f>
        <v>960.01000000000033</v>
      </c>
      <c r="H93" s="9">
        <f>SUM(G2:G92)</f>
        <v>1423.89</v>
      </c>
      <c r="I93" s="19"/>
    </row>
    <row r="94" spans="1:12" ht="15.75" thickBot="1" x14ac:dyDescent="0.3"/>
    <row r="95" spans="1:12" ht="15.75" thickBot="1" x14ac:dyDescent="0.3">
      <c r="A95" s="10">
        <v>0.35</v>
      </c>
      <c r="B95" s="7" t="s">
        <v>3</v>
      </c>
      <c r="C95" s="7"/>
      <c r="D95" s="11" t="s">
        <v>24</v>
      </c>
      <c r="E95" s="15">
        <f>F93/E93</f>
        <v>1.8000984770608912</v>
      </c>
      <c r="G95" s="12">
        <f>H93-G93</f>
        <v>463.87999999999977</v>
      </c>
    </row>
    <row r="96" spans="1:12" ht="15.75" thickBot="1" x14ac:dyDescent="0.3">
      <c r="A96" s="10">
        <v>0.36</v>
      </c>
      <c r="B96" s="7" t="s">
        <v>4</v>
      </c>
      <c r="C96" s="7"/>
      <c r="D96" s="13">
        <f>F93*(1*0.15%)</f>
        <v>31.257719999999999</v>
      </c>
      <c r="E96" s="31">
        <f>D104</f>
        <v>281.31948</v>
      </c>
      <c r="F96" s="24" t="s">
        <v>22</v>
      </c>
      <c r="G96" s="24"/>
      <c r="H96" s="24"/>
      <c r="I96" s="24"/>
    </row>
    <row r="97" spans="1:9" ht="15.75" thickBot="1" x14ac:dyDescent="0.3">
      <c r="A97" s="10">
        <v>0.37</v>
      </c>
      <c r="B97" s="7" t="s">
        <v>5</v>
      </c>
      <c r="C97" s="7"/>
      <c r="D97" s="13">
        <f>F93*(2*0.15%)</f>
        <v>62.515439999999998</v>
      </c>
      <c r="E97" s="17">
        <f>(F93+H93)*1%</f>
        <v>222.62369999999999</v>
      </c>
      <c r="F97" s="24" t="s">
        <v>23</v>
      </c>
      <c r="G97" s="24"/>
      <c r="H97" s="24"/>
      <c r="I97" s="24"/>
    </row>
    <row r="98" spans="1:9" ht="15.75" thickBot="1" x14ac:dyDescent="0.3">
      <c r="A98" s="10">
        <v>0.38</v>
      </c>
      <c r="B98" s="7" t="s">
        <v>6</v>
      </c>
      <c r="C98" s="7"/>
      <c r="D98" s="13">
        <f>F93*(3*0.15%)</f>
        <v>93.773160000000004</v>
      </c>
      <c r="E98" s="16">
        <f>E96+E97</f>
        <v>503.94317999999998</v>
      </c>
      <c r="F98" s="25" t="s">
        <v>18</v>
      </c>
      <c r="G98" s="25"/>
      <c r="H98" s="25"/>
      <c r="I98" s="25"/>
    </row>
    <row r="99" spans="1:9" ht="15.75" thickBot="1" x14ac:dyDescent="0.3">
      <c r="A99" s="10">
        <v>0.39</v>
      </c>
      <c r="B99" s="7">
        <v>1.639</v>
      </c>
      <c r="C99" s="7"/>
      <c r="D99" s="13">
        <f>F93*(4*0.15%)</f>
        <v>125.03088</v>
      </c>
      <c r="E99" s="14"/>
    </row>
    <row r="100" spans="1:9" x14ac:dyDescent="0.25">
      <c r="A100" s="10">
        <v>0.4</v>
      </c>
      <c r="B100" s="7" t="s">
        <v>7</v>
      </c>
      <c r="C100" s="7"/>
      <c r="D100" s="13">
        <f>F93*(5*0.15%)</f>
        <v>156.2886</v>
      </c>
      <c r="E100" s="28">
        <f>(F93+H93)/66</f>
        <v>337.30863636363637</v>
      </c>
      <c r="F100" s="30" t="s">
        <v>19</v>
      </c>
      <c r="G100" s="30"/>
      <c r="H100" s="30"/>
      <c r="I100" s="30"/>
    </row>
    <row r="101" spans="1:9" ht="15.75" thickBot="1" x14ac:dyDescent="0.3">
      <c r="A101" s="10">
        <v>0.41</v>
      </c>
      <c r="B101" s="7" t="s">
        <v>8</v>
      </c>
      <c r="C101" s="7"/>
      <c r="D101" s="13">
        <f>F93*(6*0.15%)</f>
        <v>187.54632000000001</v>
      </c>
      <c r="E101" s="29"/>
      <c r="F101" s="30"/>
      <c r="G101" s="30"/>
      <c r="H101" s="30"/>
      <c r="I101" s="30"/>
    </row>
    <row r="102" spans="1:9" x14ac:dyDescent="0.25">
      <c r="A102" s="10">
        <v>0.42</v>
      </c>
      <c r="B102" s="7" t="s">
        <v>9</v>
      </c>
      <c r="C102" s="7"/>
      <c r="D102" s="13">
        <f>F93*(7*0.15%)</f>
        <v>218.80404000000001</v>
      </c>
    </row>
    <row r="103" spans="1:9" x14ac:dyDescent="0.25">
      <c r="A103" s="10">
        <v>0.43</v>
      </c>
      <c r="B103" s="7" t="s">
        <v>10</v>
      </c>
      <c r="C103" s="7"/>
      <c r="D103" s="13">
        <f>F93*(8*0.15%)</f>
        <v>250.06175999999999</v>
      </c>
    </row>
    <row r="104" spans="1:9" x14ac:dyDescent="0.25">
      <c r="A104" s="10">
        <v>0.44</v>
      </c>
      <c r="B104" s="7" t="s">
        <v>11</v>
      </c>
      <c r="C104" s="7"/>
      <c r="D104" s="13">
        <f>F93*(9*0.15%)</f>
        <v>281.31948</v>
      </c>
      <c r="E104" s="1">
        <f>VLOOKUP(E95,B96:D159,1,0.017)</f>
        <v>1.639</v>
      </c>
      <c r="F104" s="21" t="s">
        <v>84</v>
      </c>
      <c r="G104" s="21"/>
      <c r="H104" s="21"/>
      <c r="I104" s="21"/>
    </row>
    <row r="105" spans="1:9" x14ac:dyDescent="0.25">
      <c r="A105" s="10">
        <v>0.45</v>
      </c>
      <c r="B105" s="7" t="s">
        <v>12</v>
      </c>
      <c r="C105" s="7"/>
      <c r="D105" s="13">
        <f>F93*(10*0.15%)</f>
        <v>312.5772</v>
      </c>
    </row>
    <row r="106" spans="1:9" ht="16.5" customHeight="1" x14ac:dyDescent="0.25">
      <c r="A106" s="10">
        <v>0.46</v>
      </c>
      <c r="B106" s="7" t="s">
        <v>13</v>
      </c>
      <c r="C106" s="7"/>
      <c r="D106" s="13">
        <f>F93*(11*0.15%)</f>
        <v>343.83492000000001</v>
      </c>
      <c r="F106" s="32" t="s">
        <v>85</v>
      </c>
      <c r="G106" s="32"/>
      <c r="H106" s="32"/>
      <c r="I106" s="32"/>
    </row>
    <row r="107" spans="1:9" x14ac:dyDescent="0.25">
      <c r="A107" s="10">
        <v>0.47</v>
      </c>
      <c r="B107" s="7" t="s">
        <v>14</v>
      </c>
      <c r="C107" s="7"/>
      <c r="D107" s="13">
        <f>F93*(12*0.15%)</f>
        <v>375.09264000000002</v>
      </c>
      <c r="F107" s="32"/>
      <c r="G107" s="32"/>
      <c r="H107" s="32"/>
      <c r="I107" s="32"/>
    </row>
    <row r="108" spans="1:9" x14ac:dyDescent="0.25">
      <c r="A108" s="10">
        <v>0.48</v>
      </c>
      <c r="B108" s="7" t="s">
        <v>15</v>
      </c>
      <c r="C108" s="7"/>
      <c r="D108" s="13">
        <f>F93*(13*0.15%)</f>
        <v>406.35035999999997</v>
      </c>
    </row>
    <row r="109" spans="1:9" x14ac:dyDescent="0.25">
      <c r="A109" s="10">
        <v>0.49</v>
      </c>
      <c r="B109" s="7" t="s">
        <v>16</v>
      </c>
      <c r="C109" s="7"/>
      <c r="D109" s="13">
        <f>F93*(14*0.15%)</f>
        <v>437.60808000000003</v>
      </c>
    </row>
    <row r="110" spans="1:9" x14ac:dyDescent="0.25">
      <c r="A110" s="10">
        <v>0.5</v>
      </c>
      <c r="B110" s="7" t="s">
        <v>17</v>
      </c>
      <c r="C110" s="7"/>
      <c r="D110" s="13">
        <f>F93*(15*0.15%)</f>
        <v>468.86579999999998</v>
      </c>
    </row>
    <row r="111" spans="1:9" x14ac:dyDescent="0.25">
      <c r="A111" s="10">
        <v>0.51</v>
      </c>
      <c r="B111" s="7">
        <f>100/49</f>
        <v>2.0408163265306123</v>
      </c>
      <c r="C111" s="7"/>
      <c r="D111" s="13">
        <f>F93*(16*0.15%)</f>
        <v>500.12351999999998</v>
      </c>
    </row>
    <row r="112" spans="1:9" x14ac:dyDescent="0.25">
      <c r="A112" s="10">
        <v>0.52</v>
      </c>
      <c r="B112" s="7">
        <f>100/48</f>
        <v>2.0833333333333335</v>
      </c>
      <c r="C112" s="7"/>
      <c r="D112" s="13">
        <f>F93*(17*0.15%)</f>
        <v>531.38124000000005</v>
      </c>
    </row>
    <row r="113" spans="1:4" x14ac:dyDescent="0.25">
      <c r="A113" s="10">
        <v>0.53</v>
      </c>
      <c r="B113" s="7">
        <f>100/47</f>
        <v>2.1276595744680851</v>
      </c>
      <c r="C113" s="7"/>
      <c r="D113" s="13">
        <f>F93*(18*0.15%)</f>
        <v>562.63896</v>
      </c>
    </row>
    <row r="114" spans="1:4" x14ac:dyDescent="0.25">
      <c r="A114" s="10">
        <v>0.54</v>
      </c>
      <c r="B114" s="7">
        <f>100/46</f>
        <v>2.1739130434782608</v>
      </c>
      <c r="C114" s="7"/>
      <c r="D114" s="13">
        <f>F93*(19*0.15%)</f>
        <v>593.89668000000006</v>
      </c>
    </row>
    <row r="115" spans="1:4" x14ac:dyDescent="0.25">
      <c r="A115" s="10">
        <v>0.55000000000000004</v>
      </c>
      <c r="B115" s="7">
        <f>100/45</f>
        <v>2.2222222222222223</v>
      </c>
      <c r="C115" s="7"/>
      <c r="D115" s="13">
        <f>F93*(20*0.15%)</f>
        <v>625.15440000000001</v>
      </c>
    </row>
    <row r="116" spans="1:4" x14ac:dyDescent="0.25">
      <c r="A116" s="10">
        <v>0.56000000000000005</v>
      </c>
      <c r="B116" s="7">
        <f>100/44</f>
        <v>2.2727272727272729</v>
      </c>
      <c r="C116" s="7"/>
      <c r="D116" s="13">
        <f>F93*(21*0.15%)</f>
        <v>656.41211999999996</v>
      </c>
    </row>
    <row r="117" spans="1:4" x14ac:dyDescent="0.25">
      <c r="A117" s="10">
        <v>0.56999999999999995</v>
      </c>
      <c r="B117" s="7">
        <f>100/43</f>
        <v>2.3255813953488373</v>
      </c>
      <c r="C117" s="7"/>
      <c r="D117" s="13">
        <f>F93*(22*0.15%)</f>
        <v>687.66984000000002</v>
      </c>
    </row>
    <row r="118" spans="1:4" x14ac:dyDescent="0.25">
      <c r="A118" s="10">
        <v>0.57999999999999996</v>
      </c>
      <c r="B118" s="7">
        <f>100/42</f>
        <v>2.3809523809523809</v>
      </c>
      <c r="C118" s="7"/>
      <c r="D118" s="13">
        <f>F93*(23*0.15%)</f>
        <v>718.92756000000008</v>
      </c>
    </row>
    <row r="119" spans="1:4" x14ac:dyDescent="0.25">
      <c r="A119" s="10">
        <v>0.59</v>
      </c>
      <c r="B119" s="7">
        <f>100/41</f>
        <v>2.4390243902439024</v>
      </c>
      <c r="C119" s="7"/>
      <c r="D119" s="13">
        <f>F93*(24*0.15%)</f>
        <v>750.18528000000003</v>
      </c>
    </row>
    <row r="120" spans="1:4" x14ac:dyDescent="0.25">
      <c r="A120" s="10">
        <v>0.6</v>
      </c>
      <c r="B120" s="7">
        <f>100/40</f>
        <v>2.5</v>
      </c>
      <c r="C120" s="7"/>
      <c r="D120" s="13">
        <f>F93*(25*0.15%)</f>
        <v>781.44299999999998</v>
      </c>
    </row>
    <row r="121" spans="1:4" x14ac:dyDescent="0.25">
      <c r="A121" s="10">
        <v>0.61</v>
      </c>
      <c r="B121" s="7">
        <f>100/39</f>
        <v>2.5641025641025643</v>
      </c>
      <c r="C121" s="7"/>
      <c r="D121" s="13">
        <f>F93*(26*0.15%)</f>
        <v>812.70071999999993</v>
      </c>
    </row>
    <row r="122" spans="1:4" x14ac:dyDescent="0.25">
      <c r="A122" s="10">
        <v>0.62</v>
      </c>
      <c r="B122" s="7">
        <f>100/38</f>
        <v>2.6315789473684212</v>
      </c>
      <c r="C122" s="7"/>
      <c r="D122" s="13">
        <f>F93*(27*0.15%)</f>
        <v>843.95844</v>
      </c>
    </row>
    <row r="123" spans="1:4" x14ac:dyDescent="0.25">
      <c r="A123" s="10">
        <v>0.63</v>
      </c>
      <c r="B123" s="7">
        <f>100/37</f>
        <v>2.7027027027027026</v>
      </c>
      <c r="C123" s="7"/>
      <c r="D123" s="13">
        <f>F93*(28*0.15%)</f>
        <v>875.21616000000006</v>
      </c>
    </row>
    <row r="124" spans="1:4" x14ac:dyDescent="0.25">
      <c r="A124" s="10">
        <v>0.64</v>
      </c>
      <c r="B124" s="7">
        <f>100/36</f>
        <v>2.7777777777777777</v>
      </c>
      <c r="C124" s="7"/>
      <c r="D124" s="13">
        <f>F93*(29*0.15%)</f>
        <v>906.47388000000001</v>
      </c>
    </row>
    <row r="125" spans="1:4" x14ac:dyDescent="0.25">
      <c r="A125" s="10">
        <v>0.65</v>
      </c>
      <c r="B125" s="7">
        <f>100/35</f>
        <v>2.8571428571428572</v>
      </c>
      <c r="C125" s="7"/>
      <c r="D125" s="13">
        <f>F93*(30*0.15%)</f>
        <v>937.73159999999996</v>
      </c>
    </row>
    <row r="126" spans="1:4" x14ac:dyDescent="0.25">
      <c r="A126" s="10">
        <v>0.66</v>
      </c>
      <c r="B126" s="7">
        <f>100/34</f>
        <v>2.9411764705882355</v>
      </c>
      <c r="C126" s="7"/>
      <c r="D126" s="13">
        <f>F93*(31*0.15%)</f>
        <v>968.98932000000002</v>
      </c>
    </row>
    <row r="127" spans="1:4" x14ac:dyDescent="0.25">
      <c r="A127" s="10">
        <v>0.67</v>
      </c>
      <c r="B127" s="7">
        <f>100/33</f>
        <v>3.0303030303030303</v>
      </c>
      <c r="C127" s="7"/>
      <c r="D127" s="13">
        <f>F93*(32*0.15%)</f>
        <v>1000.24704</v>
      </c>
    </row>
    <row r="128" spans="1:4" x14ac:dyDescent="0.25">
      <c r="A128" s="10">
        <v>0.68</v>
      </c>
      <c r="B128" s="7">
        <f>100/32</f>
        <v>3.125</v>
      </c>
      <c r="C128" s="7"/>
      <c r="D128" s="13">
        <f>F93*(33*0.15%)</f>
        <v>1031.50476</v>
      </c>
    </row>
    <row r="129" spans="1:4" x14ac:dyDescent="0.25">
      <c r="A129" s="10">
        <v>0.69</v>
      </c>
      <c r="B129" s="7">
        <f>100/31</f>
        <v>3.225806451612903</v>
      </c>
      <c r="C129" s="7"/>
      <c r="D129" s="13">
        <f>F93*(34*0.15%)</f>
        <v>1062.7624800000001</v>
      </c>
    </row>
    <row r="130" spans="1:4" x14ac:dyDescent="0.25">
      <c r="A130" s="10">
        <v>0.7</v>
      </c>
      <c r="B130" s="7">
        <f>100/30</f>
        <v>3.3333333333333335</v>
      </c>
      <c r="C130" s="7"/>
      <c r="D130" s="13">
        <f>F93*(35*0.15%)</f>
        <v>1094.0201999999999</v>
      </c>
    </row>
    <row r="131" spans="1:4" x14ac:dyDescent="0.25">
      <c r="A131" s="10">
        <v>0.71</v>
      </c>
      <c r="B131" s="7">
        <f>100/29</f>
        <v>3.4482758620689653</v>
      </c>
      <c r="C131" s="7"/>
      <c r="D131" s="13">
        <f>F93*(36*0.15%)</f>
        <v>1125.27792</v>
      </c>
    </row>
    <row r="132" spans="1:4" x14ac:dyDescent="0.25">
      <c r="A132" s="10">
        <v>0.72</v>
      </c>
      <c r="B132" s="7">
        <f>100/28</f>
        <v>3.5714285714285716</v>
      </c>
      <c r="C132" s="7"/>
      <c r="D132" s="13">
        <f>F93*(37*0.15%)</f>
        <v>1156.5356400000001</v>
      </c>
    </row>
    <row r="133" spans="1:4" x14ac:dyDescent="0.25">
      <c r="A133" s="10">
        <v>0.73</v>
      </c>
      <c r="B133" s="7">
        <f>100/27</f>
        <v>3.7037037037037037</v>
      </c>
      <c r="C133" s="7"/>
      <c r="D133" s="13">
        <f>F93*(38*0.15%)</f>
        <v>1187.7933600000001</v>
      </c>
    </row>
    <row r="134" spans="1:4" x14ac:dyDescent="0.25">
      <c r="A134" s="10">
        <v>0.74</v>
      </c>
      <c r="B134" s="7">
        <f>100/26</f>
        <v>3.8461538461538463</v>
      </c>
      <c r="C134" s="7"/>
      <c r="D134" s="13">
        <f>F93*(39*0.15%)</f>
        <v>1219.05108</v>
      </c>
    </row>
    <row r="135" spans="1:4" x14ac:dyDescent="0.25">
      <c r="A135" s="10">
        <v>0.75</v>
      </c>
      <c r="B135" s="7">
        <f>100/25</f>
        <v>4</v>
      </c>
      <c r="C135" s="7"/>
      <c r="D135" s="13">
        <f>F93*(40*0.15%)</f>
        <v>1250.3088</v>
      </c>
    </row>
    <row r="136" spans="1:4" x14ac:dyDescent="0.25">
      <c r="A136" s="10">
        <v>0.76</v>
      </c>
      <c r="B136" s="7">
        <f>100/24</f>
        <v>4.166666666666667</v>
      </c>
      <c r="C136" s="7"/>
      <c r="D136" s="13">
        <f>F93*(41*0.15%)</f>
        <v>1281.5665199999999</v>
      </c>
    </row>
    <row r="137" spans="1:4" x14ac:dyDescent="0.25">
      <c r="A137" s="10">
        <v>0.77</v>
      </c>
      <c r="B137" s="7">
        <f>100/23</f>
        <v>4.3478260869565215</v>
      </c>
      <c r="C137" s="7"/>
      <c r="D137" s="13">
        <f>F93*(42*0.15%)</f>
        <v>1312.8242399999999</v>
      </c>
    </row>
    <row r="138" spans="1:4" x14ac:dyDescent="0.25">
      <c r="A138" s="10">
        <v>0.78</v>
      </c>
      <c r="B138" s="7">
        <f>100/22</f>
        <v>4.5454545454545459</v>
      </c>
      <c r="C138" s="7"/>
      <c r="D138" s="13">
        <f>F93*(43*0.15%)</f>
        <v>1344.08196</v>
      </c>
    </row>
    <row r="139" spans="1:4" x14ac:dyDescent="0.25">
      <c r="A139" s="10">
        <v>0.79</v>
      </c>
      <c r="B139" s="7">
        <f>100/21</f>
        <v>4.7619047619047619</v>
      </c>
      <c r="C139" s="7"/>
      <c r="D139" s="13">
        <f>F93*(44*0.15%)</f>
        <v>1375.33968</v>
      </c>
    </row>
    <row r="140" spans="1:4" x14ac:dyDescent="0.25">
      <c r="A140" s="10">
        <v>0.8</v>
      </c>
      <c r="B140" s="7">
        <f>100/20</f>
        <v>5</v>
      </c>
      <c r="C140" s="7"/>
      <c r="D140" s="13">
        <f>F93*(45*0.15%)</f>
        <v>1406.5974000000001</v>
      </c>
    </row>
    <row r="141" spans="1:4" x14ac:dyDescent="0.25">
      <c r="A141" s="10">
        <v>0.81</v>
      </c>
      <c r="B141" s="7">
        <f>100/19</f>
        <v>5.2631578947368425</v>
      </c>
      <c r="C141" s="7"/>
      <c r="D141" s="13">
        <f>F93*(46*0.15%)</f>
        <v>1437.8551200000002</v>
      </c>
    </row>
    <row r="142" spans="1:4" x14ac:dyDescent="0.25">
      <c r="A142" s="10">
        <v>0.82</v>
      </c>
      <c r="B142" s="7">
        <f>100/18</f>
        <v>5.5555555555555554</v>
      </c>
      <c r="C142" s="7"/>
      <c r="D142" s="13">
        <f>F93*(47*0.15%)</f>
        <v>1469.11284</v>
      </c>
    </row>
    <row r="143" spans="1:4" x14ac:dyDescent="0.25">
      <c r="A143" s="10">
        <v>0.83</v>
      </c>
      <c r="B143" s="7">
        <f>100/17</f>
        <v>5.882352941176471</v>
      </c>
      <c r="C143" s="7"/>
      <c r="D143" s="13">
        <f>F93*(48*0.15%)</f>
        <v>1500.3705600000001</v>
      </c>
    </row>
    <row r="144" spans="1:4" x14ac:dyDescent="0.25">
      <c r="A144" s="10">
        <v>0.84</v>
      </c>
      <c r="B144" s="7">
        <f>100/16</f>
        <v>6.25</v>
      </c>
      <c r="C144" s="7"/>
      <c r="D144" s="13">
        <f>F93*(49*0.15%)</f>
        <v>1531.6282799999999</v>
      </c>
    </row>
    <row r="145" spans="1:4" x14ac:dyDescent="0.25">
      <c r="A145" s="10">
        <v>0.85</v>
      </c>
      <c r="B145" s="7">
        <f>100/15</f>
        <v>6.666666666666667</v>
      </c>
      <c r="C145" s="7"/>
      <c r="D145" s="13">
        <f>F93*(50*0.15%)</f>
        <v>1562.886</v>
      </c>
    </row>
    <row r="146" spans="1:4" x14ac:dyDescent="0.25">
      <c r="A146" s="10">
        <v>0.86</v>
      </c>
      <c r="B146" s="7">
        <f>100/14</f>
        <v>7.1428571428571432</v>
      </c>
      <c r="C146" s="7"/>
      <c r="D146" s="13">
        <f>F93*(51*0.15%)</f>
        <v>1594.14372</v>
      </c>
    </row>
    <row r="147" spans="1:4" x14ac:dyDescent="0.25">
      <c r="A147" s="10">
        <v>0.87</v>
      </c>
      <c r="B147" s="7">
        <f>100/13</f>
        <v>7.6923076923076925</v>
      </c>
      <c r="C147" s="7"/>
      <c r="D147" s="13">
        <f>F93*(52*0.15%)</f>
        <v>1625.4014399999999</v>
      </c>
    </row>
    <row r="148" spans="1:4" x14ac:dyDescent="0.25">
      <c r="A148" s="10">
        <v>0.88</v>
      </c>
      <c r="B148" s="7">
        <f>100/12</f>
        <v>8.3333333333333339</v>
      </c>
      <c r="C148" s="7"/>
      <c r="D148" s="13">
        <f>F93*(53*0.15%)</f>
        <v>1656.6591599999999</v>
      </c>
    </row>
    <row r="149" spans="1:4" x14ac:dyDescent="0.25">
      <c r="A149" s="10">
        <v>0.89</v>
      </c>
      <c r="B149" s="7">
        <f>100/11</f>
        <v>9.0909090909090917</v>
      </c>
      <c r="C149" s="7"/>
      <c r="D149" s="13">
        <f>F93*(54*0.15%)</f>
        <v>1687.91688</v>
      </c>
    </row>
    <row r="150" spans="1:4" x14ac:dyDescent="0.25">
      <c r="A150" s="10">
        <v>0.9</v>
      </c>
      <c r="B150" s="7">
        <f>100/10</f>
        <v>10</v>
      </c>
      <c r="C150" s="7"/>
      <c r="D150" s="13">
        <f>F93*(55*0.15%)</f>
        <v>1719.1746000000001</v>
      </c>
    </row>
    <row r="151" spans="1:4" x14ac:dyDescent="0.25">
      <c r="A151" s="10">
        <v>0.91</v>
      </c>
      <c r="B151" s="7">
        <f>100/9</f>
        <v>11.111111111111111</v>
      </c>
      <c r="C151" s="7"/>
      <c r="D151" s="13">
        <f>F93*(56*0.15%)</f>
        <v>1750.4323200000001</v>
      </c>
    </row>
    <row r="152" spans="1:4" x14ac:dyDescent="0.25">
      <c r="A152" s="10">
        <v>0.92</v>
      </c>
      <c r="B152" s="7">
        <f>100/8</f>
        <v>12.5</v>
      </c>
      <c r="C152" s="7"/>
      <c r="D152" s="13">
        <f>F93*(57*0.15%)</f>
        <v>1781.6900400000002</v>
      </c>
    </row>
    <row r="153" spans="1:4" x14ac:dyDescent="0.25">
      <c r="A153" s="10">
        <v>0.93</v>
      </c>
      <c r="B153" s="7">
        <f>100/7</f>
        <v>14.285714285714286</v>
      </c>
      <c r="C153" s="7"/>
      <c r="D153" s="13">
        <f>F93*(58*0.15%)</f>
        <v>1812.94776</v>
      </c>
    </row>
    <row r="154" spans="1:4" x14ac:dyDescent="0.25">
      <c r="A154" s="10">
        <v>0.94</v>
      </c>
      <c r="B154" s="7">
        <f>100/6</f>
        <v>16.666666666666668</v>
      </c>
      <c r="C154" s="7"/>
      <c r="D154" s="13">
        <f>F93*(59*0.15%)</f>
        <v>1844.2054799999999</v>
      </c>
    </row>
    <row r="155" spans="1:4" x14ac:dyDescent="0.25">
      <c r="A155" s="10">
        <v>0.95</v>
      </c>
      <c r="B155" s="7">
        <f>100/5</f>
        <v>20</v>
      </c>
      <c r="C155" s="7"/>
      <c r="D155" s="13">
        <f>F93*(60*0.15%)</f>
        <v>1875.4631999999999</v>
      </c>
    </row>
    <row r="156" spans="1:4" x14ac:dyDescent="0.25">
      <c r="A156" s="10">
        <v>0.96</v>
      </c>
      <c r="B156" s="7">
        <f>100/4</f>
        <v>25</v>
      </c>
      <c r="C156" s="7"/>
      <c r="D156" s="13">
        <f>F93*(61*0.15%)</f>
        <v>1906.72092</v>
      </c>
    </row>
    <row r="157" spans="1:4" x14ac:dyDescent="0.25">
      <c r="A157" s="10">
        <v>0.97</v>
      </c>
      <c r="B157" s="7">
        <f>100/3</f>
        <v>33.333333333333336</v>
      </c>
      <c r="C157" s="7"/>
      <c r="D157" s="13">
        <f>F93*(62*0.15%)</f>
        <v>1937.97864</v>
      </c>
    </row>
    <row r="158" spans="1:4" x14ac:dyDescent="0.25">
      <c r="A158" s="10">
        <v>0.98</v>
      </c>
      <c r="B158" s="7">
        <f>100/2</f>
        <v>50</v>
      </c>
      <c r="C158" s="7"/>
      <c r="D158" s="13">
        <f>F93*(63*0.15%)</f>
        <v>1969.2363599999999</v>
      </c>
    </row>
    <row r="159" spans="1:4" x14ac:dyDescent="0.25">
      <c r="A159" s="10">
        <v>0.99</v>
      </c>
      <c r="B159" s="7">
        <f>100/1</f>
        <v>100</v>
      </c>
      <c r="C159" s="7"/>
      <c r="D159" s="13">
        <f>F93*(64*0.15%)</f>
        <v>2000.4940799999999</v>
      </c>
    </row>
  </sheetData>
  <mergeCells count="25">
    <mergeCell ref="F104:I104"/>
    <mergeCell ref="F106:I107"/>
    <mergeCell ref="F98:I98"/>
    <mergeCell ref="H62:H63"/>
    <mergeCell ref="E100:E101"/>
    <mergeCell ref="B62:B63"/>
    <mergeCell ref="F62:F63"/>
    <mergeCell ref="F100:I101"/>
    <mergeCell ref="C62:C63"/>
    <mergeCell ref="I44:J44"/>
    <mergeCell ref="I46:K46"/>
    <mergeCell ref="F97:I97"/>
    <mergeCell ref="F96:I96"/>
    <mergeCell ref="I15:J15"/>
    <mergeCell ref="I24:J24"/>
    <mergeCell ref="I21:J21"/>
    <mergeCell ref="I19:J19"/>
    <mergeCell ref="I17:J17"/>
    <mergeCell ref="I16:J16"/>
    <mergeCell ref="I39:J39"/>
    <mergeCell ref="I38:J38"/>
    <mergeCell ref="I31:J31"/>
    <mergeCell ref="I25:J25"/>
    <mergeCell ref="I26:J26"/>
    <mergeCell ref="I27:J27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2014-2015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BARBAT</dc:creator>
  <cp:lastModifiedBy>w w</cp:lastModifiedBy>
  <dcterms:created xsi:type="dcterms:W3CDTF">2014-03-20T23:27:22Z</dcterms:created>
  <dcterms:modified xsi:type="dcterms:W3CDTF">2015-02-02T16:06:49Z</dcterms:modified>
</cp:coreProperties>
</file>